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userName="s273689" algorithmName="SHA-512" hashValue="b9tcIzmm/oP98FFwFo2DqdE1Fc6ygWiaygdOYc49WsWQAyxZvBkq6JsBaxQBUiHYaf3mKkWLpK3vvsL++DtXPw==" saltValue="rXlRuokgJWiJzwYXKdmXCQ==" spinCount="100000"/>
  <workbookPr filterPrivacy="1" codeName="ThisWorkbook" defaultThemeVersion="124226"/>
  <xr:revisionPtr revIDLastSave="0" documentId="8_{A846C3D5-F238-4033-B014-2D767308EEBE}" xr6:coauthVersionLast="47" xr6:coauthVersionMax="47" xr10:uidLastSave="{00000000-0000-0000-0000-000000000000}"/>
  <bookViews>
    <workbookView xWindow="-120" yWindow="-120" windowWidth="29040" windowHeight="15720" tabRatio="938" xr2:uid="{00000000-000D-0000-FFFF-FFFF00000000}"/>
  </bookViews>
  <sheets>
    <sheet name="TCOS" sheetId="2" r:id="rId1"/>
    <sheet name="WS A - Rate Base Support" sheetId="38" r:id="rId2"/>
    <sheet name="WS B ADIT &amp; ITC" sheetId="5" r:id="rId3"/>
    <sheet name="WS B-1 - Actual Stmt. AF" sheetId="36" r:id="rId4"/>
    <sheet name="WS B-2 - Actual Stmt. AG" sheetId="37" r:id="rId5"/>
    <sheet name="WS B-3" sheetId="42" r:id="rId6"/>
    <sheet name="WS B-3-A Remeas Suprt" sheetId="43" r:id="rId7"/>
    <sheet name="WS C  - Working Capital" sheetId="6" r:id="rId8"/>
    <sheet name="WS D IPP Credits" sheetId="7" r:id="rId9"/>
    <sheet name="WS E Rev Credits" sheetId="8" r:id="rId10"/>
    <sheet name="WS F Misc Exp" sheetId="9" r:id="rId11"/>
    <sheet name="WS G  State Tax Rate" sheetId="10" r:id="rId12"/>
    <sheet name="WS H-p1 Other Taxes" sheetId="11" r:id="rId13"/>
    <sheet name="WS H-p2 Detail of Tax Amts" sheetId="31" r:id="rId14"/>
    <sheet name="WS I RESERVED" sheetId="12" r:id="rId15"/>
    <sheet name="WS J PROJECTED RTEP RR" sheetId="20" state="hidden" r:id="rId16"/>
    <sheet name="WS K TRUE-UP RTEP RR" sheetId="13" r:id="rId17"/>
    <sheet name="WS L RESERVED" sheetId="14" r:id="rId18"/>
    <sheet name="WS M - Cost of Capital" sheetId="39" r:id="rId19"/>
    <sheet name="WS N - Sale of Plant Held" sheetId="21" r:id="rId20"/>
    <sheet name="Worksheet O" sheetId="40" r:id="rId21"/>
    <sheet name="WS P Dep. Rates" sheetId="32" r:id="rId22"/>
    <sheet name="WS Q Cap Structure" sheetId="34" r:id="rId23"/>
    <sheet name="WS R Interest" sheetId="35" r:id="rId24"/>
    <sheet name="WS R Interest(2)" sheetId="41" r:id="rId25"/>
  </sheets>
  <definedNames>
    <definedName name="_NPh1" localSheetId="6">#REF!</definedName>
    <definedName name="_NPh1">#REF!</definedName>
    <definedName name="ActExcessAmt" localSheetId="6">#REF!</definedName>
    <definedName name="ActExcessAmt">#REF!</definedName>
    <definedName name="ActGrTaxAmt" localSheetId="6">#REF!</definedName>
    <definedName name="ActGrTaxAmt">#REF!</definedName>
    <definedName name="ActKWHExcess" localSheetId="6">#REF!</definedName>
    <definedName name="ActKWHExcess">#REF!</definedName>
    <definedName name="ActKWHNotUsed" localSheetId="6">#REF!</definedName>
    <definedName name="ActKWHNotUsed">#REF!</definedName>
    <definedName name="ActKWHRes" localSheetId="6">#REF!</definedName>
    <definedName name="ActKWHRes">#REF!</definedName>
    <definedName name="ActKWHSubTot" localSheetId="6">#REF!</definedName>
    <definedName name="ActKWHSubTot">#REF!</definedName>
    <definedName name="ActKWHTot" localSheetId="6">#REF!</definedName>
    <definedName name="ActKWHTot">#REF!</definedName>
    <definedName name="ActNotUsedAmt" localSheetId="6">#REF!</definedName>
    <definedName name="ActNotUsedAmt">#REF!</definedName>
    <definedName name="ActResAmt" localSheetId="6">#REF!</definedName>
    <definedName name="ActResAmt">#REF!</definedName>
    <definedName name="ActSubTotAmt" localSheetId="6">#REF!</definedName>
    <definedName name="ActSubTotAmt">#REF!</definedName>
    <definedName name="ActTotAmt" localSheetId="6">#REF!</definedName>
    <definedName name="ActTotAmt">#REF!</definedName>
    <definedName name="AdminChg" localSheetId="6">#REF!</definedName>
    <definedName name="AdminChg">#REF!</definedName>
    <definedName name="AEP" localSheetId="6">#REF!</definedName>
    <definedName name="AEP">#REF!</definedName>
    <definedName name="allocator" localSheetId="6">#REF!</definedName>
    <definedName name="allocator">#REF!</definedName>
    <definedName name="allocators" localSheetId="6">#REF!</definedName>
    <definedName name="allocators">#REF!</definedName>
    <definedName name="allocatorsSWP" localSheetId="6">#REF!</definedName>
    <definedName name="allocatorsSWP">#REF!</definedName>
    <definedName name="allocatorSWP1">#REF!</definedName>
    <definedName name="APCO" localSheetId="6">#REF!</definedName>
    <definedName name="APCO">#REF!</definedName>
    <definedName name="APCo_Hist_Allocators" localSheetId="20">#REF!</definedName>
    <definedName name="APCo_Hist_Allocators" localSheetId="1">#REF!</definedName>
    <definedName name="APCo_Hist_Allocators" localSheetId="6">#REF!</definedName>
    <definedName name="APCo_Hist_Allocators" localSheetId="13">#REF!</definedName>
    <definedName name="APCo_Hist_Allocators" localSheetId="18">#REF!</definedName>
    <definedName name="APCo_Hist_Allocators">TCOS!#REF!</definedName>
    <definedName name="APCo_Proj_Allocators" localSheetId="6">#REF!</definedName>
    <definedName name="APCo_Proj_Allocators" localSheetId="13">#REF!</definedName>
    <definedName name="APCo_Proj_Allocators">#REF!</definedName>
    <definedName name="APCo_TU_Allocators" localSheetId="6">#REF!</definedName>
    <definedName name="APCo_TU_Allocators" localSheetId="13">#REF!</definedName>
    <definedName name="APCo_TU_Allocators">#REF!</definedName>
    <definedName name="AVRGPWRFCTR" localSheetId="6">#REF!</definedName>
    <definedName name="AVRGPWRFCTR">#REF!</definedName>
    <definedName name="B1HRSCRMO" localSheetId="6">#REF!</definedName>
    <definedName name="B1HRSCRMO">#REF!</definedName>
    <definedName name="B2HRSCRMO" localSheetId="6">#REF!</definedName>
    <definedName name="B2HRSCRMO">#REF!</definedName>
    <definedName name="BASERATECHG" localSheetId="6">#REF!</definedName>
    <definedName name="BASERATECHG">#REF!</definedName>
    <definedName name="BILLKWH" localSheetId="6">#REF!</definedName>
    <definedName name="BILLKWH">#REF!</definedName>
    <definedName name="BIRPCCHG" localSheetId="6">#REF!</definedName>
    <definedName name="BIRPCCHG">#REF!</definedName>
    <definedName name="BIRPDCHG1" localSheetId="6">#REF!</definedName>
    <definedName name="BIRPDCHG1">#REF!</definedName>
    <definedName name="BIRPDCHG2" localSheetId="6">#REF!</definedName>
    <definedName name="BIRPDCHG2">#REF!</definedName>
    <definedName name="BIRPECHG1" localSheetId="6">#REF!</definedName>
    <definedName name="BIRPECHG1">#REF!</definedName>
    <definedName name="BIRPECHGB1" localSheetId="6">#REF!</definedName>
    <definedName name="BIRPECHGB1">#REF!</definedName>
    <definedName name="BIRPECHGB2" localSheetId="6">#REF!</definedName>
    <definedName name="BIRPECHGB2">#REF!</definedName>
    <definedName name="BIRPECHGB3" localSheetId="6">#REF!</definedName>
    <definedName name="BIRPECHGB3">#REF!</definedName>
    <definedName name="BIRPECHGW" localSheetId="6">#REF!</definedName>
    <definedName name="BIRPECHGW">#REF!</definedName>
    <definedName name="BIRPKWH1" localSheetId="6">#REF!</definedName>
    <definedName name="BIRPKWH1">#REF!</definedName>
    <definedName name="BIRPKWHB1" localSheetId="6">#REF!</definedName>
    <definedName name="BIRPKWHB1">#REF!</definedName>
    <definedName name="BIRPKWHB2" localSheetId="6">#REF!</definedName>
    <definedName name="BIRPKWHB2">#REF!</definedName>
    <definedName name="BIRPKWHB3" localSheetId="6">#REF!</definedName>
    <definedName name="BIRPKWHB3">#REF!</definedName>
    <definedName name="BIRPKWHWH" localSheetId="6">#REF!</definedName>
    <definedName name="BIRPKWHWH">#REF!</definedName>
    <definedName name="BIRPMECHG1" localSheetId="6">#REF!</definedName>
    <definedName name="BIRPMECHG1">#REF!</definedName>
    <definedName name="BIRPOFKWH" localSheetId="6">#REF!</definedName>
    <definedName name="BIRPOFKWH">#REF!</definedName>
    <definedName name="BIRPOPKWH" localSheetId="6">#REF!</definedName>
    <definedName name="BIRPOPKWH">#REF!</definedName>
    <definedName name="BIRPP1EC" localSheetId="6">#REF!</definedName>
    <definedName name="BIRPP1EC">#REF!</definedName>
    <definedName name="BIRPP2EC" localSheetId="6">#REF!</definedName>
    <definedName name="BIRPP2EC">#REF!</definedName>
    <definedName name="BIRPP3EC" localSheetId="6">#REF!</definedName>
    <definedName name="BIRPP3EC">#REF!</definedName>
    <definedName name="BIRPP4EC" localSheetId="6">#REF!</definedName>
    <definedName name="BIRPP4EC">#REF!</definedName>
    <definedName name="BIRPP5EC" localSheetId="6">#REF!</definedName>
    <definedName name="BIRPP5EC">#REF!</definedName>
    <definedName name="BIRPPDMDCHG" localSheetId="6">#REF!</definedName>
    <definedName name="BIRPPDMDCHG">#REF!</definedName>
    <definedName name="BIRPRCHG" localSheetId="6">#REF!</definedName>
    <definedName name="BIRPRCHG">#REF!</definedName>
    <definedName name="BIRPXKVA" localSheetId="6">#REF!</definedName>
    <definedName name="BIRPXKVA">#REF!</definedName>
    <definedName name="BIRPXKVAPCT" localSheetId="6">#REF!</definedName>
    <definedName name="BIRPXKVAPCT">#REF!</definedName>
    <definedName name="BIRPXOFKW" localSheetId="6">#REF!</definedName>
    <definedName name="BIRPXOFKW">#REF!</definedName>
    <definedName name="BKUPKWH" localSheetId="6">#REF!</definedName>
    <definedName name="BKUPKWH">#REF!</definedName>
    <definedName name="BLDAMNT" localSheetId="6">#REF!</definedName>
    <definedName name="BLDAMNT">#REF!</definedName>
    <definedName name="BLDDMND" localSheetId="6">#REF!</definedName>
    <definedName name="BLDDMND">#REF!</definedName>
    <definedName name="BLDKWH" localSheetId="6">#REF!</definedName>
    <definedName name="BLDKWH">#REF!</definedName>
    <definedName name="BLDOPDMND" localSheetId="6">#REF!</definedName>
    <definedName name="BLDOPDMND">#REF!</definedName>
    <definedName name="BLNGKWB4EDR" localSheetId="6">#REF!</definedName>
    <definedName name="BLNGKWB4EDR">#REF!</definedName>
    <definedName name="BLNGKWH" localSheetId="6">#REF!</definedName>
    <definedName name="BLNGKWH">#REF!</definedName>
    <definedName name="BLNGKWHTTL" localSheetId="6">#REF!</definedName>
    <definedName name="BLNGKWHTTL">#REF!</definedName>
    <definedName name="BndBlkKwh1" localSheetId="6">#REF!</definedName>
    <definedName name="BndBlkKwh1">#REF!</definedName>
    <definedName name="BndBlkKwh2" localSheetId="6">#REF!</definedName>
    <definedName name="BndBlkKwh2">#REF!</definedName>
    <definedName name="BndBlkKwh3" localSheetId="6">#REF!</definedName>
    <definedName name="BndBlkKwh3">#REF!</definedName>
    <definedName name="BndBlkKwhChg1" localSheetId="6">#REF!</definedName>
    <definedName name="BndBlkKwhChg1">#REF!</definedName>
    <definedName name="BndBlkKwhChg2" localSheetId="6">#REF!</definedName>
    <definedName name="BndBlkKwhChg2">#REF!</definedName>
    <definedName name="BndBlkKwhChg3" localSheetId="6">#REF!</definedName>
    <definedName name="BndBlkKwhChg3">#REF!</definedName>
    <definedName name="BndBlkKwhChgT" localSheetId="6">#REF!</definedName>
    <definedName name="BndBlkKwhChgT">#REF!</definedName>
    <definedName name="BndBlkKwhChgW" localSheetId="6">#REF!</definedName>
    <definedName name="BndBlkKwhChgW">#REF!</definedName>
    <definedName name="BndBlkKwhT" localSheetId="6">#REF!</definedName>
    <definedName name="BndBlkKwhT">#REF!</definedName>
    <definedName name="BndBlkKwhW" localSheetId="6">#REF!</definedName>
    <definedName name="BndBlkKwhW">#REF!</definedName>
    <definedName name="BndCustChg" localSheetId="6">#REF!</definedName>
    <definedName name="BndCustChg">#REF!</definedName>
    <definedName name="BndDmdChg1" localSheetId="6">#REF!</definedName>
    <definedName name="BndDmdChg1">#REF!</definedName>
    <definedName name="BndDmdChg2" localSheetId="6">#REF!</definedName>
    <definedName name="BndDmdChg2">#REF!</definedName>
    <definedName name="BndExcsKvaPct" localSheetId="6">#REF!</definedName>
    <definedName name="BndExcsKvaPct">#REF!</definedName>
    <definedName name="BndMEChg" localSheetId="6">#REF!</definedName>
    <definedName name="BndMEChg">#REF!</definedName>
    <definedName name="BndOffPkKwh" localSheetId="6">#REF!</definedName>
    <definedName name="BndOffPkKwh">#REF!</definedName>
    <definedName name="BndOnPkKwh" localSheetId="6">#REF!</definedName>
    <definedName name="BndOnPkKwh">#REF!</definedName>
    <definedName name="BndPL1Chg" localSheetId="6">#REF!</definedName>
    <definedName name="BndPL1Chg">#REF!</definedName>
    <definedName name="BndPL2Chg" localSheetId="6">#REF!</definedName>
    <definedName name="BndPL2Chg">#REF!</definedName>
    <definedName name="BndPL3Chg" localSheetId="6">#REF!</definedName>
    <definedName name="BndPL3Chg">#REF!</definedName>
    <definedName name="BndPL4Chg" localSheetId="6">#REF!</definedName>
    <definedName name="BndPL4Chg">#REF!</definedName>
    <definedName name="BndPL5Chg" localSheetId="6">#REF!</definedName>
    <definedName name="BndPL5Chg">#REF!</definedName>
    <definedName name="BndReactiveChg" localSheetId="6">#REF!</definedName>
    <definedName name="BndReactiveChg">#REF!</definedName>
    <definedName name="BndXOfpKvaChg" localSheetId="6">#REF!</definedName>
    <definedName name="BndXOfpKvaChg">#REF!</definedName>
    <definedName name="BndXOfpKwChg" localSheetId="6">#REF!</definedName>
    <definedName name="BndXOfpKwChg">#REF!</definedName>
    <definedName name="BTTrueUp" localSheetId="6">#REF!</definedName>
    <definedName name="BTTrueUp">#REF!</definedName>
    <definedName name="BUNCCHG" localSheetId="6">#REF!</definedName>
    <definedName name="BUNCCHG">#REF!</definedName>
    <definedName name="BUNDCHG1" localSheetId="6">#REF!</definedName>
    <definedName name="BUNDCHG1">#REF!</definedName>
    <definedName name="BUNDCHG2" localSheetId="6">#REF!</definedName>
    <definedName name="BUNDCHG2">#REF!</definedName>
    <definedName name="BUNECHG1" localSheetId="6">#REF!</definedName>
    <definedName name="BUNECHG1">#REF!</definedName>
    <definedName name="BUNECHGB1" localSheetId="6">#REF!</definedName>
    <definedName name="BUNECHGB1">#REF!</definedName>
    <definedName name="BUNECHGB2" localSheetId="6">#REF!</definedName>
    <definedName name="BUNECHGB2">#REF!</definedName>
    <definedName name="BUNECHGB3" localSheetId="6">#REF!</definedName>
    <definedName name="BUNECHGB3">#REF!</definedName>
    <definedName name="BUNECHGW" localSheetId="6">#REF!</definedName>
    <definedName name="BUNECHGW">#REF!</definedName>
    <definedName name="BUNKWH1" localSheetId="6">#REF!</definedName>
    <definedName name="BUNKWH1">#REF!</definedName>
    <definedName name="BUNKWHB1" localSheetId="6">#REF!</definedName>
    <definedName name="BUNKWHB1">#REF!</definedName>
    <definedName name="BUNKWHB2" localSheetId="6">#REF!</definedName>
    <definedName name="BUNKWHB2">#REF!</definedName>
    <definedName name="BUNKWHB3" localSheetId="6">#REF!</definedName>
    <definedName name="BUNKWHB3">#REF!</definedName>
    <definedName name="BUNKWHWH" localSheetId="6">#REF!</definedName>
    <definedName name="BUNKWHWH">#REF!</definedName>
    <definedName name="BUNMECHG1" localSheetId="6">#REF!</definedName>
    <definedName name="BUNMECHG1">#REF!</definedName>
    <definedName name="BUNOFKWH" localSheetId="6">#REF!</definedName>
    <definedName name="BUNOFKWH">#REF!</definedName>
    <definedName name="BUNOPKWH" localSheetId="6">#REF!</definedName>
    <definedName name="BUNOPKWH">#REF!</definedName>
    <definedName name="BUNP1EC" localSheetId="6">#REF!</definedName>
    <definedName name="BUNP1EC">#REF!</definedName>
    <definedName name="BUNP2EC" localSheetId="6">#REF!</definedName>
    <definedName name="BUNP2EC">#REF!</definedName>
    <definedName name="BUNP3EC" localSheetId="6">#REF!</definedName>
    <definedName name="BUNP3EC">#REF!</definedName>
    <definedName name="BUNP4EC" localSheetId="6">#REF!</definedName>
    <definedName name="BUNP4EC">#REF!</definedName>
    <definedName name="BUNP5EC" localSheetId="6">#REF!</definedName>
    <definedName name="BUNP5EC">#REF!</definedName>
    <definedName name="BUNPDMDCHG" localSheetId="6">#REF!</definedName>
    <definedName name="BUNPDMDCHG">#REF!</definedName>
    <definedName name="BUNRCHG" localSheetId="6">#REF!</definedName>
    <definedName name="BUNRCHG">#REF!</definedName>
    <definedName name="BUNXKVA" localSheetId="6">#REF!</definedName>
    <definedName name="BUNXKVA">#REF!</definedName>
    <definedName name="BUNXKVAPCT" localSheetId="6">#REF!</definedName>
    <definedName name="BUNXKVAPCT">#REF!</definedName>
    <definedName name="BUNXOFKW" localSheetId="6">#REF!</definedName>
    <definedName name="BUNXOFKW">#REF!</definedName>
    <definedName name="CALCPFCC" localSheetId="6">#REF!</definedName>
    <definedName name="CALCPFCC">#REF!</definedName>
    <definedName name="CAPDEFA" localSheetId="6">#REF!</definedName>
    <definedName name="CAPDEFA">#REF!</definedName>
    <definedName name="CBLKWH" localSheetId="6">#REF!</definedName>
    <definedName name="CBLKWH">#REF!</definedName>
    <definedName name="City" localSheetId="6">#REF!</definedName>
    <definedName name="City">#REF!</definedName>
    <definedName name="CNTRCTDMND" localSheetId="6">#REF!</definedName>
    <definedName name="CNTRCTDMND">#REF!</definedName>
    <definedName name="CoPhoneLine" localSheetId="6">#REF!</definedName>
    <definedName name="CoPhoneLine">#REF!</definedName>
    <definedName name="CRMOINTRPTHRS" localSheetId="6">#REF!</definedName>
    <definedName name="CRMOINTRPTHRS">#REF!</definedName>
    <definedName name="CRNTMOBTKWH" localSheetId="6">#REF!</definedName>
    <definedName name="CRNTMOBTKWH">#REF!</definedName>
    <definedName name="CRNTMOFPKHRS" localSheetId="6">#REF!</definedName>
    <definedName name="CRNTMOFPKHRS">#REF!</definedName>
    <definedName name="CRNTMONPKHRS" localSheetId="6">#REF!</definedName>
    <definedName name="CRNTMONPKHRS">#REF!</definedName>
    <definedName name="CRTLBLONPKHRS" localSheetId="6">#REF!</definedName>
    <definedName name="CRTLBLONPKHRS">#REF!</definedName>
    <definedName name="CRTLBLONPKKWH" localSheetId="6">#REF!</definedName>
    <definedName name="CRTLBLONPKKWH">#REF!</definedName>
    <definedName name="CSTMRCHG" localSheetId="6">#REF!</definedName>
    <definedName name="CSTMRCHG">#REF!</definedName>
    <definedName name="CurMoAddr1" localSheetId="6">#REF!</definedName>
    <definedName name="CurMoAddr1">#REF!</definedName>
    <definedName name="CurMoAddr2" localSheetId="6">#REF!</definedName>
    <definedName name="CurMoAddr2">#REF!</definedName>
    <definedName name="CurMoBTDetail" localSheetId="6">#REF!</definedName>
    <definedName name="CurMoBTDetail">#REF!</definedName>
    <definedName name="CurMoBuyThrgh_Sheet" localSheetId="6">#REF!</definedName>
    <definedName name="CurMoBuyThrgh_Sheet">#REF!</definedName>
    <definedName name="CurMoCityStZip" localSheetId="6">#REF!</definedName>
    <definedName name="CurMoCityStZip">#REF!</definedName>
    <definedName name="CurMoCustName" localSheetId="6">#REF!</definedName>
    <definedName name="CurMoCustName">#REF!</definedName>
    <definedName name="CurMoExcessAmt" localSheetId="6">#REF!</definedName>
    <definedName name="CurMoExcessAmt">#REF!</definedName>
    <definedName name="CurMoGrTaxAmt" localSheetId="6">#REF!</definedName>
    <definedName name="CurMoGrTaxAmt">#REF!</definedName>
    <definedName name="CurMoKWHExcess" localSheetId="6">#REF!</definedName>
    <definedName name="CurMoKWHExcess">#REF!</definedName>
    <definedName name="CurMoKWHNotUsed" localSheetId="6">#REF!</definedName>
    <definedName name="CurMoKWHNotUsed">#REF!</definedName>
    <definedName name="CurMoKWHRes" localSheetId="6">#REF!</definedName>
    <definedName name="CurMoKWHRes">#REF!</definedName>
    <definedName name="CurMoKWHSubTot" localSheetId="6">#REF!</definedName>
    <definedName name="CurMoKWHSubTot">#REF!</definedName>
    <definedName name="CurMoKWHTot" localSheetId="6">#REF!</definedName>
    <definedName name="CurMoKWHTot">#REF!</definedName>
    <definedName name="CurMoMtrMult" localSheetId="6">#REF!</definedName>
    <definedName name="CurMoMtrMult">#REF!</definedName>
    <definedName name="CurMoNotUsedAmt" localSheetId="6">#REF!</definedName>
    <definedName name="CurMoNotUsedAmt">#REF!</definedName>
    <definedName name="CurMoResAmt" localSheetId="6">#REF!</definedName>
    <definedName name="CurMoResAmt">#REF!</definedName>
    <definedName name="CurMoSubTotAmt" localSheetId="6">#REF!</definedName>
    <definedName name="CurMoSubTotAmt">#REF!</definedName>
    <definedName name="CurMoTotAmt" localSheetId="6">#REF!</definedName>
    <definedName name="CurMoTotAmt">#REF!</definedName>
    <definedName name="CurrYear" localSheetId="6">#REF!</definedName>
    <definedName name="CurrYear">#REF!</definedName>
    <definedName name="CustAddr1" localSheetId="6">#REF!</definedName>
    <definedName name="CustAddr1">#REF!</definedName>
    <definedName name="CustAddr2" localSheetId="6">#REF!</definedName>
    <definedName name="CustAddr2">#REF!</definedName>
    <definedName name="CustCityStZip" localSheetId="6">#REF!</definedName>
    <definedName name="CustCityStZip">#REF!</definedName>
    <definedName name="CustName2" localSheetId="6">#REF!</definedName>
    <definedName name="CustName2">#REF!</definedName>
    <definedName name="CustTable" localSheetId="6">#REF!</definedName>
    <definedName name="CustTable">#REF!</definedName>
    <definedName name="DetailTotCbl" localSheetId="6">#REF!</definedName>
    <definedName name="DetailTotCbl">#REF!</definedName>
    <definedName name="DetailTotChg" localSheetId="6">#REF!</definedName>
    <definedName name="DetailTotChg">#REF!</definedName>
    <definedName name="DetailTotKw" localSheetId="6">#REF!</definedName>
    <definedName name="DetailTotKw">#REF!</definedName>
    <definedName name="DetailTotMargin" localSheetId="6">#REF!</definedName>
    <definedName name="DetailTotMargin">#REF!</definedName>
    <definedName name="DIRPCCHG" localSheetId="6">#REF!</definedName>
    <definedName name="DIRPCCHG">#REF!</definedName>
    <definedName name="DIRPDCHG1" localSheetId="6">#REF!</definedName>
    <definedName name="DIRPDCHG1">#REF!</definedName>
    <definedName name="DIRPDCHG2" localSheetId="6">#REF!</definedName>
    <definedName name="DIRPDCHG2">#REF!</definedName>
    <definedName name="DIRPECHG1" localSheetId="6">#REF!</definedName>
    <definedName name="DIRPECHG1">#REF!</definedName>
    <definedName name="DIRPECHGB1" localSheetId="6">#REF!</definedName>
    <definedName name="DIRPECHGB1">#REF!</definedName>
    <definedName name="DIRPECHGB2" localSheetId="6">#REF!</definedName>
    <definedName name="DIRPECHGB2">#REF!</definedName>
    <definedName name="DIRPECHGB3" localSheetId="6">#REF!</definedName>
    <definedName name="DIRPECHGB3">#REF!</definedName>
    <definedName name="DIRPMECHG1" localSheetId="6">#REF!</definedName>
    <definedName name="DIRPMECHG1">#REF!</definedName>
    <definedName name="DIRPMINDC" localSheetId="6">#REF!</definedName>
    <definedName name="DIRPMINDC">#REF!</definedName>
    <definedName name="DIRPMINEC" localSheetId="6">#REF!</definedName>
    <definedName name="DIRPMINEC">#REF!</definedName>
    <definedName name="DIRPOFKVA" localSheetId="6">#REF!</definedName>
    <definedName name="DIRPOFKVA">#REF!</definedName>
    <definedName name="DIRPOFKW" localSheetId="6">#REF!</definedName>
    <definedName name="DIRPOFKW">#REF!</definedName>
    <definedName name="DIRPOFKWH" localSheetId="6">#REF!</definedName>
    <definedName name="DIRPOFKWH">#REF!</definedName>
    <definedName name="DIRPOPKWH" localSheetId="6">#REF!</definedName>
    <definedName name="DIRPOPKWH">#REF!</definedName>
    <definedName name="DIRPP1EC" localSheetId="6">#REF!</definedName>
    <definedName name="DIRPP1EC">#REF!</definedName>
    <definedName name="DIRPP2EC" localSheetId="6">#REF!</definedName>
    <definedName name="DIRPP2EC">#REF!</definedName>
    <definedName name="DIRPP3EC" localSheetId="6">#REF!</definedName>
    <definedName name="DIRPP3EC">#REF!</definedName>
    <definedName name="DIRPP4EC" localSheetId="6">#REF!</definedName>
    <definedName name="DIRPP4EC">#REF!</definedName>
    <definedName name="DIRPP5EC" localSheetId="6">#REF!</definedName>
    <definedName name="DIRPP5EC">#REF!</definedName>
    <definedName name="DIRPRCHG" localSheetId="6">#REF!</definedName>
    <definedName name="DIRPRCHG">#REF!</definedName>
    <definedName name="DisBlkKwhChg1" localSheetId="6">#REF!</definedName>
    <definedName name="DisBlkKwhChg1">#REF!</definedName>
    <definedName name="DisBlkKwhChg2" localSheetId="6">#REF!</definedName>
    <definedName name="DisBlkKwhChg2">#REF!</definedName>
    <definedName name="DisBlkKwhChg3" localSheetId="6">#REF!</definedName>
    <definedName name="DisBlkKwhChg3">#REF!</definedName>
    <definedName name="DisBlkKwhChgT" localSheetId="6">#REF!</definedName>
    <definedName name="DisBlkKwhChgT">#REF!</definedName>
    <definedName name="DisCustChg" localSheetId="6">#REF!</definedName>
    <definedName name="DisCustChg">#REF!</definedName>
    <definedName name="DisDmdChg1" localSheetId="6">#REF!</definedName>
    <definedName name="DisDmdChg1">#REF!</definedName>
    <definedName name="DisDmdChg2" localSheetId="6">#REF!</definedName>
    <definedName name="DisDmdChg2">#REF!</definedName>
    <definedName name="DisMEChg" localSheetId="6">#REF!</definedName>
    <definedName name="DisMEChg">#REF!</definedName>
    <definedName name="DisMinDChg" localSheetId="6">#REF!</definedName>
    <definedName name="DisMinDChg">#REF!</definedName>
    <definedName name="DisMinEChg" localSheetId="6">#REF!</definedName>
    <definedName name="DisMinEChg">#REF!</definedName>
    <definedName name="DisOffPkKwh" localSheetId="6">#REF!</definedName>
    <definedName name="DisOffPkKwh">#REF!</definedName>
    <definedName name="DisOnPkKwh" localSheetId="6">#REF!</definedName>
    <definedName name="DisOnPkKwh">#REF!</definedName>
    <definedName name="DisPL1Chg" localSheetId="6">#REF!</definedName>
    <definedName name="DisPL1Chg">#REF!</definedName>
    <definedName name="DisPL2Chg" localSheetId="6">#REF!</definedName>
    <definedName name="DisPL2Chg">#REF!</definedName>
    <definedName name="DisPL3Chg" localSheetId="6">#REF!</definedName>
    <definedName name="DisPL3Chg">#REF!</definedName>
    <definedName name="DisPL4Chg" localSheetId="6">#REF!</definedName>
    <definedName name="DisPL4Chg">#REF!</definedName>
    <definedName name="DisPL5Chg" localSheetId="6">#REF!</definedName>
    <definedName name="DisPL5Chg">#REF!</definedName>
    <definedName name="DisReactiveChg" localSheetId="6">#REF!</definedName>
    <definedName name="DisReactiveChg">#REF!</definedName>
    <definedName name="DisXOfpKvaChg" localSheetId="6">#REF!</definedName>
    <definedName name="DisXOfpKvaChg">#REF!</definedName>
    <definedName name="DisXOfpKwChg" localSheetId="6">#REF!</definedName>
    <definedName name="DisXOfpKwChg">#REF!</definedName>
    <definedName name="DSTCCHG" localSheetId="6">#REF!</definedName>
    <definedName name="DSTCCHG">#REF!</definedName>
    <definedName name="DSTDCHG1" localSheetId="6">#REF!</definedName>
    <definedName name="DSTDCHG1">#REF!</definedName>
    <definedName name="DSTDCHG2" localSheetId="6">#REF!</definedName>
    <definedName name="DSTDCHG2">#REF!</definedName>
    <definedName name="DSTECHG1" localSheetId="6">#REF!</definedName>
    <definedName name="DSTECHG1">#REF!</definedName>
    <definedName name="DSTECHGB1" localSheetId="6">#REF!</definedName>
    <definedName name="DSTECHGB1">#REF!</definedName>
    <definedName name="DSTECHGB2" localSheetId="6">#REF!</definedName>
    <definedName name="DSTECHGB2">#REF!</definedName>
    <definedName name="DSTECHGB3" localSheetId="6">#REF!</definedName>
    <definedName name="DSTECHGB3">#REF!</definedName>
    <definedName name="DSTMECHG1" localSheetId="6">#REF!</definedName>
    <definedName name="DSTMECHG1">#REF!</definedName>
    <definedName name="DSTMINDC" localSheetId="6">#REF!</definedName>
    <definedName name="DSTMINDC">#REF!</definedName>
    <definedName name="DSTMINEC" localSheetId="6">#REF!</definedName>
    <definedName name="DSTMINEC">#REF!</definedName>
    <definedName name="DSTOFKWH" localSheetId="6">#REF!</definedName>
    <definedName name="DSTOFKWH">#REF!</definedName>
    <definedName name="DSTOPKWH" localSheetId="6">#REF!</definedName>
    <definedName name="DSTOPKWH">#REF!</definedName>
    <definedName name="DSTP1EC" localSheetId="6">#REF!</definedName>
    <definedName name="DSTP1EC">#REF!</definedName>
    <definedName name="DSTP2EC" localSheetId="6">#REF!</definedName>
    <definedName name="DSTP2EC">#REF!</definedName>
    <definedName name="DSTP3EC" localSheetId="6">#REF!</definedName>
    <definedName name="DSTP3EC">#REF!</definedName>
    <definedName name="DSTP4EC" localSheetId="6">#REF!</definedName>
    <definedName name="DSTP4EC">#REF!</definedName>
    <definedName name="DSTP5EC" localSheetId="6">#REF!</definedName>
    <definedName name="DSTP5EC">#REF!</definedName>
    <definedName name="DSTRCHG" localSheetId="6">#REF!</definedName>
    <definedName name="DSTRCHG">#REF!</definedName>
    <definedName name="DSTXOFKVA" localSheetId="6">#REF!</definedName>
    <definedName name="DSTXOFKVA">#REF!</definedName>
    <definedName name="DSTXOFKW" localSheetId="6">#REF!</definedName>
    <definedName name="DSTXOFKW">#REF!</definedName>
    <definedName name="EDRBASE" localSheetId="6">#REF!</definedName>
    <definedName name="EDRBASE">#REF!</definedName>
    <definedName name="EDRDATE" localSheetId="6">#REF!</definedName>
    <definedName name="EDRDATE">#REF!</definedName>
    <definedName name="EDRDSCNT" localSheetId="6">#REF!</definedName>
    <definedName name="EDRDSCNT">#REF!</definedName>
    <definedName name="EDRLVLPCT" localSheetId="6">#REF!</definedName>
    <definedName name="EDRLVLPCT">#REF!</definedName>
    <definedName name="EDRTYPE" localSheetId="6">#REF!</definedName>
    <definedName name="EDRTYPE">#REF!</definedName>
    <definedName name="EffDate" localSheetId="6">#REF!</definedName>
    <definedName name="EffDate">#REF!</definedName>
    <definedName name="ELKMCGN1" localSheetId="6">#REF!</definedName>
    <definedName name="ELKMCGN1">#REF!</definedName>
    <definedName name="ELKMCGN2" localSheetId="6">#REF!</definedName>
    <definedName name="ELKMCGN2">#REF!</definedName>
    <definedName name="ENDDTM" localSheetId="6">#REF!</definedName>
    <definedName name="ENDDTM">#REF!</definedName>
    <definedName name="ENDTIME" localSheetId="6">#REF!</definedName>
    <definedName name="ENDTIME">#REF!</definedName>
    <definedName name="EstExcessAmt" localSheetId="6">#REF!</definedName>
    <definedName name="EstExcessAmt">#REF!</definedName>
    <definedName name="EstGrTaxAmt" localSheetId="6">#REF!</definedName>
    <definedName name="EstGrTaxAmt">#REF!</definedName>
    <definedName name="EstKWHExcess" localSheetId="6">#REF!</definedName>
    <definedName name="EstKWHExcess">#REF!</definedName>
    <definedName name="EstKWHNotUsed" localSheetId="6">#REF!</definedName>
    <definedName name="EstKWHNotUsed">#REF!</definedName>
    <definedName name="EstKWHRes" localSheetId="6">#REF!</definedName>
    <definedName name="EstKWHRes">#REF!</definedName>
    <definedName name="EstKWHSubTot" localSheetId="6">#REF!</definedName>
    <definedName name="EstKWHSubTot">#REF!</definedName>
    <definedName name="EstKWHTot" localSheetId="6">#REF!</definedName>
    <definedName name="EstKWHTot">#REF!</definedName>
    <definedName name="EstNotUsedAmt" localSheetId="6">#REF!</definedName>
    <definedName name="EstNotUsedAmt">#REF!</definedName>
    <definedName name="EstResAmt" localSheetId="6">#REF!</definedName>
    <definedName name="EstResAmt">#REF!</definedName>
    <definedName name="EstSubTotAmt" localSheetId="6">#REF!</definedName>
    <definedName name="EstSubTotAmt">#REF!</definedName>
    <definedName name="EstTotAmt" localSheetId="6">#REF!</definedName>
    <definedName name="EstTotAmt">#REF!</definedName>
    <definedName name="EXCSKVACHG" localSheetId="6">#REF!</definedName>
    <definedName name="EXCSKVACHG">#REF!</definedName>
    <definedName name="EXCSKVADMND" localSheetId="6">#REF!</definedName>
    <definedName name="EXCSKVADMND">#REF!</definedName>
    <definedName name="EXCSKVAR" localSheetId="6">#REF!</definedName>
    <definedName name="EXCSKVAR">#REF!</definedName>
    <definedName name="FIRMKWH" localSheetId="6">#REF!</definedName>
    <definedName name="FIRMKWH">#REF!</definedName>
    <definedName name="FIRSTDAY" localSheetId="6">#REF!</definedName>
    <definedName name="FIRSTDAY">#REF!</definedName>
    <definedName name="FRMCPCT" localSheetId="6">#REF!</definedName>
    <definedName name="FRMCPCT">#REF!</definedName>
    <definedName name="FUELCHG" localSheetId="6">#REF!</definedName>
    <definedName name="FUELCHG">#REF!</definedName>
    <definedName name="FUELRATE" localSheetId="6">#REF!</definedName>
    <definedName name="FUELRATE">#REF!</definedName>
    <definedName name="GenBlkKwhChg1" localSheetId="6">#REF!</definedName>
    <definedName name="GenBlkKwhChg1">#REF!</definedName>
    <definedName name="GenBlkKwhChg2" localSheetId="6">#REF!</definedName>
    <definedName name="GenBlkKwhChg2">#REF!</definedName>
    <definedName name="GenBlkKwhChg3" localSheetId="6">#REF!</definedName>
    <definedName name="GenBlkKwhChg3">#REF!</definedName>
    <definedName name="GenBlkKwhChgT" localSheetId="6">#REF!</definedName>
    <definedName name="GenBlkKwhChgT">#REF!</definedName>
    <definedName name="GENCCHG" localSheetId="6">#REF!</definedName>
    <definedName name="GENCCHG">#REF!</definedName>
    <definedName name="GenCustChg" localSheetId="6">#REF!</definedName>
    <definedName name="GenCustChg">#REF!</definedName>
    <definedName name="GENDCHG1" localSheetId="6">#REF!</definedName>
    <definedName name="GENDCHG1">#REF!</definedName>
    <definedName name="GENDCHG2" localSheetId="6">#REF!</definedName>
    <definedName name="GENDCHG2">#REF!</definedName>
    <definedName name="GenDmdChg1" localSheetId="6">#REF!</definedName>
    <definedName name="GenDmdChg1">#REF!</definedName>
    <definedName name="GenDmdChg2" localSheetId="6">#REF!</definedName>
    <definedName name="GenDmdChg2">#REF!</definedName>
    <definedName name="GENECHG1" localSheetId="6">#REF!</definedName>
    <definedName name="GENECHG1">#REF!</definedName>
    <definedName name="GENECHGB1" localSheetId="6">#REF!</definedName>
    <definedName name="GENECHGB1">#REF!</definedName>
    <definedName name="GENECHGB2" localSheetId="6">#REF!</definedName>
    <definedName name="GENECHGB2">#REF!</definedName>
    <definedName name="GENECHGB3" localSheetId="6">#REF!</definedName>
    <definedName name="GENECHGB3">#REF!</definedName>
    <definedName name="GenMEChg" localSheetId="6">#REF!</definedName>
    <definedName name="GenMEChg">#REF!</definedName>
    <definedName name="GENMECHG1" localSheetId="6">#REF!</definedName>
    <definedName name="GENMECHG1">#REF!</definedName>
    <definedName name="GENMINDC" localSheetId="6">#REF!</definedName>
    <definedName name="GENMINDC">#REF!</definedName>
    <definedName name="GenMinDChg" localSheetId="6">#REF!</definedName>
    <definedName name="GenMinDChg">#REF!</definedName>
    <definedName name="GENMINEC" localSheetId="6">#REF!</definedName>
    <definedName name="GENMINEC">#REF!</definedName>
    <definedName name="GenMinEChg" localSheetId="6">#REF!</definedName>
    <definedName name="GenMinEChg">#REF!</definedName>
    <definedName name="GenOffPkKwh" localSheetId="6">#REF!</definedName>
    <definedName name="GenOffPkKwh">#REF!</definedName>
    <definedName name="GENOFKWH" localSheetId="6">#REF!</definedName>
    <definedName name="GENOFKWH">#REF!</definedName>
    <definedName name="GenOnPkKwh" localSheetId="6">#REF!</definedName>
    <definedName name="GenOnPkKwh">#REF!</definedName>
    <definedName name="GENOPKWH" localSheetId="6">#REF!</definedName>
    <definedName name="GENOPKWH">#REF!</definedName>
    <definedName name="GENP1EC" localSheetId="6">#REF!</definedName>
    <definedName name="GENP1EC">#REF!</definedName>
    <definedName name="GENP2EC" localSheetId="6">#REF!</definedName>
    <definedName name="GENP2EC">#REF!</definedName>
    <definedName name="GENP3EC" localSheetId="6">#REF!</definedName>
    <definedName name="GENP3EC">#REF!</definedName>
    <definedName name="GENP4EC" localSheetId="6">#REF!</definedName>
    <definedName name="GENP4EC">#REF!</definedName>
    <definedName name="GENP5EC" localSheetId="6">#REF!</definedName>
    <definedName name="GENP5EC">#REF!</definedName>
    <definedName name="GenPL1Chg" localSheetId="6">#REF!</definedName>
    <definedName name="GenPL1Chg">#REF!</definedName>
    <definedName name="GenPL2Chg" localSheetId="6">#REF!</definedName>
    <definedName name="GenPL2Chg">#REF!</definedName>
    <definedName name="GenPL3Chg" localSheetId="6">#REF!</definedName>
    <definedName name="GenPL3Chg">#REF!</definedName>
    <definedName name="GenPL4Chg" localSheetId="6">#REF!</definedName>
    <definedName name="GenPL4Chg">#REF!</definedName>
    <definedName name="GenPL5Chg" localSheetId="6">#REF!</definedName>
    <definedName name="GenPL5Chg">#REF!</definedName>
    <definedName name="GENRCHG" localSheetId="6">#REF!</definedName>
    <definedName name="GENRCHG">#REF!</definedName>
    <definedName name="GenReactiveChg" localSheetId="6">#REF!</definedName>
    <definedName name="GenReactiveChg">#REF!</definedName>
    <definedName name="GENXOFKVA" localSheetId="6">#REF!</definedName>
    <definedName name="GENXOFKVA">#REF!</definedName>
    <definedName name="GENXOFKW" localSheetId="6">#REF!</definedName>
    <definedName name="GENXOFKW">#REF!</definedName>
    <definedName name="GenXOfpKvaChg" localSheetId="6">#REF!</definedName>
    <definedName name="GenXOfpKvaChg">#REF!</definedName>
    <definedName name="GenXOfpKwChg" localSheetId="6">#REF!</definedName>
    <definedName name="GenXOfpKwChg">#REF!</definedName>
    <definedName name="GIRPCCHG" localSheetId="6">#REF!</definedName>
    <definedName name="GIRPCCHG">#REF!</definedName>
    <definedName name="GIRPDCHG1" localSheetId="6">#REF!</definedName>
    <definedName name="GIRPDCHG1">#REF!</definedName>
    <definedName name="GIRPDCHG2" localSheetId="6">#REF!</definedName>
    <definedName name="GIRPDCHG2">#REF!</definedName>
    <definedName name="GIRPECHG1" localSheetId="6">#REF!</definedName>
    <definedName name="GIRPECHG1">#REF!</definedName>
    <definedName name="GIRPECHGB1" localSheetId="6">#REF!</definedName>
    <definedName name="GIRPECHGB1">#REF!</definedName>
    <definedName name="GIRPECHGB2" localSheetId="6">#REF!</definedName>
    <definedName name="GIRPECHGB2">#REF!</definedName>
    <definedName name="GIRPECHGB3" localSheetId="6">#REF!</definedName>
    <definedName name="GIRPECHGB3">#REF!</definedName>
    <definedName name="GIRPMECHG1" localSheetId="6">#REF!</definedName>
    <definedName name="GIRPMECHG1">#REF!</definedName>
    <definedName name="GIRPMINDC" localSheetId="6">#REF!</definedName>
    <definedName name="GIRPMINDC">#REF!</definedName>
    <definedName name="GIRPMINEC" localSheetId="6">#REF!</definedName>
    <definedName name="GIRPMINEC">#REF!</definedName>
    <definedName name="GIRPOFKVA" localSheetId="6">#REF!</definedName>
    <definedName name="GIRPOFKVA">#REF!</definedName>
    <definedName name="GIRPOFKW" localSheetId="6">#REF!</definedName>
    <definedName name="GIRPOFKW">#REF!</definedName>
    <definedName name="GIRPOFKWH" localSheetId="6">#REF!</definedName>
    <definedName name="GIRPOFKWH">#REF!</definedName>
    <definedName name="GIRPOPKWH" localSheetId="6">#REF!</definedName>
    <definedName name="GIRPOPKWH">#REF!</definedName>
    <definedName name="GIRPP1EC" localSheetId="6">#REF!</definedName>
    <definedName name="GIRPP1EC">#REF!</definedName>
    <definedName name="GIRPP2EC" localSheetId="6">#REF!</definedName>
    <definedName name="GIRPP2EC">#REF!</definedName>
    <definedName name="GIRPP3EC" localSheetId="6">#REF!</definedName>
    <definedName name="GIRPP3EC">#REF!</definedName>
    <definedName name="GIRPP4EC" localSheetId="6">#REF!</definedName>
    <definedName name="GIRPP4EC">#REF!</definedName>
    <definedName name="GIRPP5EC" localSheetId="6">#REF!</definedName>
    <definedName name="GIRPP5EC">#REF!</definedName>
    <definedName name="GIRPRCHG" localSheetId="6">#REF!</definedName>
    <definedName name="GIRPRCHG">#REF!</definedName>
    <definedName name="HEADA">#REF!</definedName>
    <definedName name="HEADB">#REF!</definedName>
    <definedName name="HEADC">#REF!</definedName>
    <definedName name="HEADD">#REF!</definedName>
    <definedName name="HIPREKW" localSheetId="6">#REF!</definedName>
    <definedName name="HIPREKW">#REF!</definedName>
    <definedName name="HRCRDKW" localSheetId="6">#REF!</definedName>
    <definedName name="HRCRDKW">#REF!</definedName>
    <definedName name="HRCRDKWDT" localSheetId="6">#REF!</definedName>
    <definedName name="HRCRDKWDT">#REF!</definedName>
    <definedName name="HRCRDKWTM" localSheetId="6">#REF!</definedName>
    <definedName name="HRCRDKWTM">#REF!</definedName>
    <definedName name="HROFPKDT" localSheetId="6">#REF!</definedName>
    <definedName name="HROFPKDT">#REF!</definedName>
    <definedName name="HROFPKKW" localSheetId="6">#REF!</definedName>
    <definedName name="HROFPKKW">#REF!</definedName>
    <definedName name="HROFPKTM" localSheetId="6">#REF!</definedName>
    <definedName name="HROFPKTM">#REF!</definedName>
    <definedName name="HRONPKDT" localSheetId="6">#REF!</definedName>
    <definedName name="HRONPKDT">#REF!</definedName>
    <definedName name="HRONPKKW" localSheetId="6">#REF!</definedName>
    <definedName name="HRONPKKW">#REF!</definedName>
    <definedName name="HRONPKTM" localSheetId="6">#REF!</definedName>
    <definedName name="HRONPKTM">#REF!</definedName>
    <definedName name="IM_Allocators" localSheetId="20">#REF!</definedName>
    <definedName name="IM_Allocators" localSheetId="1">#REF!</definedName>
    <definedName name="IM_Allocators" localSheetId="6">#REF!</definedName>
    <definedName name="IM_Allocators" localSheetId="13">#REF!</definedName>
    <definedName name="IM_Allocators" localSheetId="18">#REF!</definedName>
    <definedName name="IM_Allocators">TCOS!#REF!</definedName>
    <definedName name="IMCO" localSheetId="6">#REF!</definedName>
    <definedName name="IMCO">#REF!</definedName>
    <definedName name="InterruptCapacity" localSheetId="6">#REF!</definedName>
    <definedName name="InterruptCapacity">#REF!</definedName>
    <definedName name="InterruptOfpCapacity" localSheetId="6">#REF!</definedName>
    <definedName name="InterruptOfpCapacity">#REF!</definedName>
    <definedName name="InterruptType" localSheetId="6">#REF!</definedName>
    <definedName name="InterruptType">#REF!</definedName>
    <definedName name="INTRPBLCAP" localSheetId="6">#REF!</definedName>
    <definedName name="INTRPBLCAP">#REF!</definedName>
    <definedName name="Invdetails" localSheetId="6">#REF!</definedName>
    <definedName name="Invdetails">#REF!</definedName>
    <definedName name="KWCHG" localSheetId="6">#REF!</definedName>
    <definedName name="KWCHG">#REF!</definedName>
    <definedName name="KWH1NOCMM" localSheetId="6">#REF!</definedName>
    <definedName name="KWH1NOCMM">#REF!</definedName>
    <definedName name="KWH3NOCMM" localSheetId="6">#REF!</definedName>
    <definedName name="KWH3NOCMM">#REF!</definedName>
    <definedName name="KWHCHG" localSheetId="6">#REF!</definedName>
    <definedName name="KWHCHG">#REF!</definedName>
    <definedName name="LASTDAY" localSheetId="6">#REF!</definedName>
    <definedName name="LASTDAY">#REF!</definedName>
    <definedName name="LASTFUEL" localSheetId="6">#REF!</definedName>
    <definedName name="LASTFUEL">#REF!</definedName>
    <definedName name="LASTMSRR" localSheetId="6">#REF!</definedName>
    <definedName name="LASTMSRR">#REF!</definedName>
    <definedName name="LASTPFCC" localSheetId="6">#REF!</definedName>
    <definedName name="LASTPFCC">#REF!</definedName>
    <definedName name="LDFCTR" localSheetId="6">#REF!</definedName>
    <definedName name="LDFCTR">#REF!</definedName>
    <definedName name="LRCREDIT" localSheetId="6">#REF!</definedName>
    <definedName name="LRCREDIT">#REF!</definedName>
    <definedName name="M_A" localSheetId="20">#REF!</definedName>
    <definedName name="M_A" localSheetId="1">#REF!</definedName>
    <definedName name="M_A" localSheetId="6">#REF!</definedName>
    <definedName name="M_A" localSheetId="13">#REF!</definedName>
    <definedName name="M_A" localSheetId="18">#REF!</definedName>
    <definedName name="M_A">'WS I RESERVED'!#REF!</definedName>
    <definedName name="MACC1" localSheetId="6">#REF!</definedName>
    <definedName name="MACC1">#REF!</definedName>
    <definedName name="MACC2" localSheetId="6">#REF!</definedName>
    <definedName name="MACC2">#REF!</definedName>
    <definedName name="MAINTHRSCRMO" localSheetId="6">#REF!</definedName>
    <definedName name="MAINTHRSCRMO">#REF!</definedName>
    <definedName name="MAINTKWH" localSheetId="6">#REF!</definedName>
    <definedName name="MAINTKWH">#REF!</definedName>
    <definedName name="MinBillDem" localSheetId="6">#REF!</definedName>
    <definedName name="MinBillDem">#REF!</definedName>
    <definedName name="MinBillDem2" localSheetId="6">#REF!</definedName>
    <definedName name="MinBillDem2">#REF!</definedName>
    <definedName name="MinBillDmd" localSheetId="6">#REF!</definedName>
    <definedName name="MinBillDmd">#REF!</definedName>
    <definedName name="MSRRBLD" localSheetId="6">#REF!</definedName>
    <definedName name="MSRRBLD">#REF!</definedName>
    <definedName name="MSRRCHG" localSheetId="6">#REF!</definedName>
    <definedName name="MSRRCHG">#REF!</definedName>
    <definedName name="MTRMLTPLR1" localSheetId="6">#REF!</definedName>
    <definedName name="MTRMLTPLR1">#REF!</definedName>
    <definedName name="MTRMLTPLR2" localSheetId="6">#REF!</definedName>
    <definedName name="MTRMLTPLR2">#REF!</definedName>
    <definedName name="NETMRGCHG" localSheetId="6">#REF!</definedName>
    <definedName name="NETMRGCHG">#REF!</definedName>
    <definedName name="NODAYSINPRD" localSheetId="6">#REF!</definedName>
    <definedName name="NODAYSINPRD">#REF!</definedName>
    <definedName name="NODELPOINTS" localSheetId="6">#REF!</definedName>
    <definedName name="NODELPOINTS">#REF!</definedName>
    <definedName name="np">#REF!</definedName>
    <definedName name="NP_h" localSheetId="20">#REF!</definedName>
    <definedName name="NP_h" localSheetId="1">#REF!</definedName>
    <definedName name="NP_h" localSheetId="6">#REF!</definedName>
    <definedName name="NP_h" localSheetId="13">#REF!</definedName>
    <definedName name="NP_h" localSheetId="18">#REF!</definedName>
    <definedName name="NP_h">TCOS!$J$87</definedName>
    <definedName name="NP_h1" localSheetId="6">#REF!</definedName>
    <definedName name="NP_h1">#REF!</definedName>
    <definedName name="NPh" localSheetId="13">#REF!</definedName>
    <definedName name="NPh">TCOS!$J$87</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 localSheetId="6">#REF!</definedName>
    <definedName name="OFPCBLKW">#REF!</definedName>
    <definedName name="OFPKBILLKWH" localSheetId="6">#REF!</definedName>
    <definedName name="OFPKBILLKWH">#REF!</definedName>
    <definedName name="OFPKCGNKWH" localSheetId="6">#REF!</definedName>
    <definedName name="OFPKCGNKWH">#REF!</definedName>
    <definedName name="OFPKCNTRCTCPCT" localSheetId="6">#REF!</definedName>
    <definedName name="OFPKCNTRCTCPCT">#REF!</definedName>
    <definedName name="OFPKDMPKWH" localSheetId="6">#REF!</definedName>
    <definedName name="OFPKDMPKWH">#REF!</definedName>
    <definedName name="OFPKDSCRKWH" localSheetId="6">#REF!</definedName>
    <definedName name="OFPKDSCRKWH">#REF!</definedName>
    <definedName name="OFPKDT" localSheetId="6">#REF!</definedName>
    <definedName name="OFPKDT">#REF!</definedName>
    <definedName name="OFPKEXCSKW" localSheetId="6">#REF!</definedName>
    <definedName name="OFPKEXCSKW">#REF!</definedName>
    <definedName name="OFPKINCRKWH" localSheetId="6">#REF!</definedName>
    <definedName name="OFPKINCRKWH">#REF!</definedName>
    <definedName name="OFPKKVADT" localSheetId="6">#REF!</definedName>
    <definedName name="OFPKKVADT">#REF!</definedName>
    <definedName name="OFPKKVATM" localSheetId="6">#REF!</definedName>
    <definedName name="OFPKKVATM">#REF!</definedName>
    <definedName name="OFPKKVW" localSheetId="6">#REF!</definedName>
    <definedName name="OFPKKVW">#REF!</definedName>
    <definedName name="OFPKKW" localSheetId="6">#REF!</definedName>
    <definedName name="OFPKKW">#REF!</definedName>
    <definedName name="OFPKKWH1NOCMM" localSheetId="6">#REF!</definedName>
    <definedName name="OFPKKWH1NOCMM">#REF!</definedName>
    <definedName name="OFPKKWH3NOCMM" localSheetId="6">#REF!</definedName>
    <definedName name="OFPKKWH3NOCMM">#REF!</definedName>
    <definedName name="OFPKRCRDKWH" localSheetId="6">#REF!</definedName>
    <definedName name="OFPKRCRDKWH">#REF!</definedName>
    <definedName name="OFPKTM" localSheetId="6">#REF!</definedName>
    <definedName name="OFPKTM">#REF!</definedName>
    <definedName name="OFPXCSKW" localSheetId="6">#REF!</definedName>
    <definedName name="OFPXCSKW">#REF!</definedName>
    <definedName name="OFPXCSKWDT" localSheetId="6">#REF!</definedName>
    <definedName name="OFPXCSKWDT">#REF!</definedName>
    <definedName name="OFPXCSKWH" localSheetId="6">#REF!</definedName>
    <definedName name="OFPXCSKWH">#REF!</definedName>
    <definedName name="OFPXCSKWTM" localSheetId="6">#REF!</definedName>
    <definedName name="OFPXCSKWTM">#REF!</definedName>
    <definedName name="ONPKBILLKWH" localSheetId="6">#REF!</definedName>
    <definedName name="ONPKBILLKWH">#REF!</definedName>
    <definedName name="ONPKCAPB" localSheetId="6">#REF!</definedName>
    <definedName name="ONPKCAPB">#REF!</definedName>
    <definedName name="ONPKCGNKWH" localSheetId="6">#REF!</definedName>
    <definedName name="ONPKCGNKWH">#REF!</definedName>
    <definedName name="ONPKCNTRCTCPCT" localSheetId="6">#REF!</definedName>
    <definedName name="ONPKCNTRCTCPCT">#REF!</definedName>
    <definedName name="ONPKDMPKWH" localSheetId="6">#REF!</definedName>
    <definedName name="ONPKDMPKWH">#REF!</definedName>
    <definedName name="ONPKDSCRKWH" localSheetId="6">#REF!</definedName>
    <definedName name="ONPKDSCRKWH">#REF!</definedName>
    <definedName name="ONPKDT" localSheetId="6">#REF!</definedName>
    <definedName name="ONPKDT">#REF!</definedName>
    <definedName name="ONPKINCRKWH" localSheetId="6">#REF!</definedName>
    <definedName name="ONPKINCRKWH">#REF!</definedName>
    <definedName name="ONPKKVA" localSheetId="6">#REF!</definedName>
    <definedName name="ONPKKVA">#REF!</definedName>
    <definedName name="ONPKKVADT" localSheetId="6">#REF!</definedName>
    <definedName name="ONPKKVADT">#REF!</definedName>
    <definedName name="ONPKKVATM" localSheetId="6">#REF!</definedName>
    <definedName name="ONPKKVATM">#REF!</definedName>
    <definedName name="ONPKKW" localSheetId="6">#REF!</definedName>
    <definedName name="ONPKKW">#REF!</definedName>
    <definedName name="ONPKKWH1NOCMM" localSheetId="6">#REF!</definedName>
    <definedName name="ONPKKWH1NOCMM">#REF!</definedName>
    <definedName name="ONPKKWH3NOCMM" localSheetId="6">#REF!</definedName>
    <definedName name="ONPKKWH3NOCMM">#REF!</definedName>
    <definedName name="ONPKRCRDKWH" localSheetId="6">#REF!</definedName>
    <definedName name="ONPKRCRDKWH">#REF!</definedName>
    <definedName name="ONPKTM" localSheetId="6">#REF!</definedName>
    <definedName name="ONPKTM">#REF!</definedName>
    <definedName name="OPCBLKW" localSheetId="6">#REF!</definedName>
    <definedName name="OPCBLKW">#REF!</definedName>
    <definedName name="OPCO" localSheetId="6">#REF!</definedName>
    <definedName name="OPCO">#REF!</definedName>
    <definedName name="OPXCSKW" localSheetId="6">#REF!</definedName>
    <definedName name="OPXCSKW">#REF!</definedName>
    <definedName name="OPXCSKWDT" localSheetId="6">#REF!</definedName>
    <definedName name="OPXCSKWDT">#REF!</definedName>
    <definedName name="OPXCSKWH" localSheetId="6">#REF!</definedName>
    <definedName name="OPXCSKWH">#REF!</definedName>
    <definedName name="OPXCSKWTM" localSheetId="6">#REF!</definedName>
    <definedName name="OPXCSKWTM">#REF!</definedName>
    <definedName name="OTHRTRNSKWH" localSheetId="6">#REF!</definedName>
    <definedName name="OTHRTRNSKWH">#REF!</definedName>
    <definedName name="P1PENPERC" localSheetId="6">#REF!</definedName>
    <definedName name="P1PENPERC">#REF!</definedName>
    <definedName name="P2PENPERC" localSheetId="6">#REF!</definedName>
    <definedName name="P2PENPERC">#REF!</definedName>
    <definedName name="PAGEA">#REF!</definedName>
    <definedName name="PAGEB">#REF!</definedName>
    <definedName name="PAGEC">#REF!</definedName>
    <definedName name="PAGED">#REF!</definedName>
    <definedName name="PeakDemandChg" localSheetId="6">#REF!</definedName>
    <definedName name="PeakDemandChg">#REF!</definedName>
    <definedName name="PenaltyDays" localSheetId="6">#REF!</definedName>
    <definedName name="PenaltyDays">#REF!</definedName>
    <definedName name="PenaltyPct" localSheetId="6">#REF!</definedName>
    <definedName name="PenaltyPct">#REF!</definedName>
    <definedName name="PENDAYS" localSheetId="6">#REF!</definedName>
    <definedName name="PENDAYS">#REF!</definedName>
    <definedName name="PENDAYS2" localSheetId="6">#REF!</definedName>
    <definedName name="PENDAYS2">#REF!</definedName>
    <definedName name="PFCC" localSheetId="6">#REF!</definedName>
    <definedName name="PFCC">#REF!</definedName>
    <definedName name="PKKVAR" localSheetId="6">#REF!</definedName>
    <definedName name="PKKVAR">#REF!</definedName>
    <definedName name="PKKVARDATE" localSheetId="6">#REF!</definedName>
    <definedName name="PKKVARDATE">#REF!</definedName>
    <definedName name="PKKVARTIME" localSheetId="6">#REF!</definedName>
    <definedName name="PKKVARTIME">#REF!</definedName>
    <definedName name="PLVLKWH1" localSheetId="6">#REF!</definedName>
    <definedName name="PLVLKWH1">#REF!</definedName>
    <definedName name="PLVLKWH1A" localSheetId="6">#REF!</definedName>
    <definedName name="PLVLKWH1A">#REF!</definedName>
    <definedName name="PLVLKWH2" localSheetId="6">#REF!</definedName>
    <definedName name="PLVLKWH2">#REF!</definedName>
    <definedName name="PLVLKWH23A" localSheetId="6">#REF!</definedName>
    <definedName name="PLVLKWH23A">#REF!</definedName>
    <definedName name="PLVLKWH25" localSheetId="6">#REF!</definedName>
    <definedName name="PLVLKWH25">#REF!</definedName>
    <definedName name="PLVLKWH2A" localSheetId="6">#REF!</definedName>
    <definedName name="PLVLKWH2A">#REF!</definedName>
    <definedName name="PLVLKWH3" localSheetId="6">#REF!</definedName>
    <definedName name="PLVLKWH3">#REF!</definedName>
    <definedName name="PLVLKWH3A" localSheetId="6">#REF!</definedName>
    <definedName name="PLVLKWH3A">#REF!</definedName>
    <definedName name="PLVLKWH4" localSheetId="6">#REF!</definedName>
    <definedName name="PLVLKWH4">#REF!</definedName>
    <definedName name="PLVLKWH4A" localSheetId="6">#REF!</definedName>
    <definedName name="PLVLKWH4A">#REF!</definedName>
    <definedName name="PRICEDESIG" localSheetId="6">#REF!</definedName>
    <definedName name="PRICEDESIG">#REF!</definedName>
    <definedName name="PriMoAddr1" localSheetId="6">#REF!</definedName>
    <definedName name="PriMoAddr1">#REF!</definedName>
    <definedName name="PriMoAddr2" localSheetId="6">#REF!</definedName>
    <definedName name="PriMoAddr2">#REF!</definedName>
    <definedName name="PriMoBTDetail" localSheetId="6">#REF!</definedName>
    <definedName name="PriMoBTDetail">#REF!</definedName>
    <definedName name="PriMoBuyThrgh_Sheet" localSheetId="6">#REF!</definedName>
    <definedName name="PriMoBuyThrgh_Sheet">#REF!</definedName>
    <definedName name="PriMoCityStZip" localSheetId="6">#REF!</definedName>
    <definedName name="PriMoCityStZip">#REF!</definedName>
    <definedName name="PriMoCustName" localSheetId="6">#REF!</definedName>
    <definedName name="PriMoCustName">#REF!</definedName>
    <definedName name="PriMoMtrMult" localSheetId="6">#REF!</definedName>
    <definedName name="PriMoMtrMult">#REF!</definedName>
    <definedName name="_xlnm.Print_Area" localSheetId="0">TCOS!$A$1:$L$388</definedName>
    <definedName name="_xlnm.Print_Area" localSheetId="20">'Worksheet O'!$A$1:$D$37</definedName>
    <definedName name="_xlnm.Print_Area" localSheetId="2">'WS B ADIT &amp; ITC'!$A$1:$I$56</definedName>
    <definedName name="_xlnm.Print_Area" localSheetId="6">'WS B-3-A Remeas Suprt'!$A$1:$N$36</definedName>
    <definedName name="_xlnm.Print_Area" localSheetId="8">'WS D IPP Credits'!$A$3:$E$28</definedName>
    <definedName name="_xlnm.Print_Area" localSheetId="9">'WS E Rev Credits'!$A$3:$K$38</definedName>
    <definedName name="_xlnm.Print_Area" localSheetId="10">'WS F Misc Exp'!$A$3:$G$74</definedName>
    <definedName name="_xlnm.Print_Area" localSheetId="11">'WS G  State Tax Rate'!$A$3:$H$34</definedName>
    <definedName name="_xlnm.Print_Area" localSheetId="12">'WS H-p1 Other Taxes'!$A$1:$M$71</definedName>
    <definedName name="_xlnm.Print_Area" localSheetId="13">'WS H-p2 Detail of Tax Amts'!$A$1:$I$112</definedName>
    <definedName name="_xlnm.Print_Area" localSheetId="14">'WS I RESERVED'!$A$1:$J$15</definedName>
    <definedName name="_xlnm.Print_Area" localSheetId="15">'WS J PROJECTED RTEP RR'!$A$1:$O$977</definedName>
    <definedName name="_xlnm.Print_Area" localSheetId="17">'WS L RESERVED'!$A$3:$F$9</definedName>
    <definedName name="_xlnm.Print_Area" localSheetId="19">'WS N - Sale of Plant Held'!$A$3:$U$35</definedName>
    <definedName name="_xlnm.Print_Area" localSheetId="21">'WS P Dep. Rates'!$A$1:$F$39</definedName>
    <definedName name="_xlnm.Print_Area" localSheetId="22">'WS Q Cap Structure'!$A$1:$J$239</definedName>
    <definedName name="_xlnm.Print_Area" localSheetId="23">'WS R Interest'!$A$1:$L$61</definedName>
    <definedName name="_xlnm.Print_Area">#REF!</definedName>
    <definedName name="_xlnm.Print_Titles" localSheetId="1">'WS A - Rate Base Support'!$1:$5</definedName>
    <definedName name="_xlnm.Print_Titles" localSheetId="7">'WS C  - Working Capital'!$3:$9</definedName>
    <definedName name="_xlnm.Print_Titles" localSheetId="12">'WS H-p1 Other Taxes'!$3:$7</definedName>
    <definedName name="_xlnm.Print_Titles" localSheetId="13">'WS H-p2 Detail of Tax Amts'!$3:$6</definedName>
    <definedName name="_xlnm.Print_Titles" localSheetId="18">'WS M - Cost of Capital'!$1:$5</definedName>
    <definedName name="_xlnm.Print_Titles" localSheetId="21">'WS P Dep. Rates'!$5:$11</definedName>
    <definedName name="PRVCNT" localSheetId="6">#REF!</definedName>
    <definedName name="PRVCNT">#REF!</definedName>
    <definedName name="PRVDATE" localSheetId="6">#REF!</definedName>
    <definedName name="PRVDATE">#REF!</definedName>
    <definedName name="PRVFUEL" localSheetId="6">#REF!</definedName>
    <definedName name="PRVFUEL">#REF!</definedName>
    <definedName name="PRVKW" localSheetId="6">#REF!</definedName>
    <definedName name="PRVKW">#REF!</definedName>
    <definedName name="PRVKWH" localSheetId="6">#REF!</definedName>
    <definedName name="PRVKWH">#REF!</definedName>
    <definedName name="PRVMSRR" localSheetId="6">#REF!</definedName>
    <definedName name="PRVMSRR">#REF!</definedName>
    <definedName name="PRVPFCC" localSheetId="6">#REF!</definedName>
    <definedName name="PRVPFCC">#REF!</definedName>
    <definedName name="PSO_Proj_Allocators" localSheetId="6">#REF!</definedName>
    <definedName name="PSO_Proj_Allocators" localSheetId="13">#REF!</definedName>
    <definedName name="PSO_Proj_Allocators">#REF!</definedName>
    <definedName name="PSOallocatorsP" localSheetId="6">#REF!</definedName>
    <definedName name="PSOallocatorsP">#REF!</definedName>
    <definedName name="PVHIOFPCBL" localSheetId="6">#REF!</definedName>
    <definedName name="PVHIOFPCBL">#REF!</definedName>
    <definedName name="PVHIOPCBL" localSheetId="6">#REF!</definedName>
    <definedName name="PVHIOPCBL">#REF!</definedName>
    <definedName name="RatchetFactor" localSheetId="6">#REF!</definedName>
    <definedName name="RatchetFactor">#REF!</definedName>
    <definedName name="RCRDRID" localSheetId="6">#REF!</definedName>
    <definedName name="RCRDRID">#REF!</definedName>
    <definedName name="RCTVHRS" localSheetId="6">#REF!</definedName>
    <definedName name="RCTVHRS">#REF!</definedName>
    <definedName name="RDRBLK1C" localSheetId="6">#REF!</definedName>
    <definedName name="RDRBLK1C">#REF!</definedName>
    <definedName name="RDRBLK1Q" localSheetId="6">#REF!</definedName>
    <definedName name="RDRBLK1Q">#REF!</definedName>
    <definedName name="RDRBLK2C" localSheetId="6">#REF!</definedName>
    <definedName name="RDRBLK2C">#REF!</definedName>
    <definedName name="RDRBLK2Q" localSheetId="6">#REF!</definedName>
    <definedName name="RDRBLK2Q">#REF!</definedName>
    <definedName name="RDRBLK3C" localSheetId="6">#REF!</definedName>
    <definedName name="RDRBLK3C">#REF!</definedName>
    <definedName name="RDRBLK3Q" localSheetId="6">#REF!</definedName>
    <definedName name="RDRBLK3Q">#REF!</definedName>
    <definedName name="RDRBLKTC" localSheetId="6">#REF!</definedName>
    <definedName name="RDRBLKTC">#REF!</definedName>
    <definedName name="RDRBLKTC1" localSheetId="6">#REF!</definedName>
    <definedName name="RDRBLKTC1">#REF!</definedName>
    <definedName name="RDRBLKTC10" localSheetId="6">#REF!</definedName>
    <definedName name="RDRBLKTC10">#REF!</definedName>
    <definedName name="RDRBLKTC11" localSheetId="6">#REF!</definedName>
    <definedName name="RDRBLKTC11">#REF!</definedName>
    <definedName name="RDRBLKTC12" localSheetId="6">#REF!</definedName>
    <definedName name="RDRBLKTC12">#REF!</definedName>
    <definedName name="RDRBLKTC13" localSheetId="6">#REF!</definedName>
    <definedName name="RDRBLKTC13">#REF!</definedName>
    <definedName name="RDRBLKTC14" localSheetId="6">#REF!</definedName>
    <definedName name="RDRBLKTC14">#REF!</definedName>
    <definedName name="RDRBLKTC15" localSheetId="6">#REF!</definedName>
    <definedName name="RDRBLKTC15">#REF!</definedName>
    <definedName name="RDRBLKTC16" localSheetId="6">#REF!</definedName>
    <definedName name="RDRBLKTC16">#REF!</definedName>
    <definedName name="RDRBLKTC17" localSheetId="6">#REF!</definedName>
    <definedName name="RDRBLKTC17">#REF!</definedName>
    <definedName name="RDRBLKTC18" localSheetId="6">#REF!</definedName>
    <definedName name="RDRBLKTC18">#REF!</definedName>
    <definedName name="RDRBLKTC19" localSheetId="6">#REF!</definedName>
    <definedName name="RDRBLKTC19">#REF!</definedName>
    <definedName name="RDRBLKTC2" localSheetId="6">#REF!</definedName>
    <definedName name="RDRBLKTC2">#REF!</definedName>
    <definedName name="RDRBLKTC20" localSheetId="6">#REF!</definedName>
    <definedName name="RDRBLKTC20">#REF!</definedName>
    <definedName name="RDRBLKTC3" localSheetId="6">#REF!</definedName>
    <definedName name="RDRBLKTC3">#REF!</definedName>
    <definedName name="RDRBLKTC4" localSheetId="6">#REF!</definedName>
    <definedName name="RDRBLKTC4">#REF!</definedName>
    <definedName name="RDRBLKTC5" localSheetId="6">#REF!</definedName>
    <definedName name="RDRBLKTC5">#REF!</definedName>
    <definedName name="RDRBLKTC6" localSheetId="6">#REF!</definedName>
    <definedName name="RDRBLKTC6">#REF!</definedName>
    <definedName name="RDRBLKTC7" localSheetId="6">#REF!</definedName>
    <definedName name="RDRBLKTC7">#REF!</definedName>
    <definedName name="RDRBLKTC8" localSheetId="6">#REF!</definedName>
    <definedName name="RDRBLKTC8">#REF!</definedName>
    <definedName name="RDRBLKTC9" localSheetId="6">#REF!</definedName>
    <definedName name="RDRBLKTC9">#REF!</definedName>
    <definedName name="RDRBLKTQ" localSheetId="6">#REF!</definedName>
    <definedName name="RDRBLKTQ">#REF!</definedName>
    <definedName name="RDRCODE" localSheetId="6">#REF!</definedName>
    <definedName name="RDRCODE">#REF!</definedName>
    <definedName name="RDRCYCLE" localSheetId="6">#REF!</definedName>
    <definedName name="RDRCYCLE">#REF!</definedName>
    <definedName name="RDRDATE" localSheetId="6">#REF!</definedName>
    <definedName name="RDRDATE">#REF!</definedName>
    <definedName name="RDRNAME" localSheetId="6">#REF!</definedName>
    <definedName name="RDRNAME">#REF!</definedName>
    <definedName name="RDRRATEB" localSheetId="6">#REF!</definedName>
    <definedName name="RDRRATEB">#REF!</definedName>
    <definedName name="RDRRATEB1" localSheetId="6">#REF!</definedName>
    <definedName name="RDRRATEB1">#REF!</definedName>
    <definedName name="RDRRATEB10" localSheetId="6">#REF!</definedName>
    <definedName name="RDRRATEB10">#REF!</definedName>
    <definedName name="RDRRATEB11" localSheetId="6">#REF!</definedName>
    <definedName name="RDRRATEB11">#REF!</definedName>
    <definedName name="RDRRATEB12" localSheetId="6">#REF!</definedName>
    <definedName name="RDRRATEB12">#REF!</definedName>
    <definedName name="RDRRATEB13" localSheetId="6">#REF!</definedName>
    <definedName name="RDRRATEB13">#REF!</definedName>
    <definedName name="RDRRATEB14" localSheetId="6">#REF!</definedName>
    <definedName name="RDRRATEB14">#REF!</definedName>
    <definedName name="RDRRATEB15" localSheetId="6">#REF!</definedName>
    <definedName name="RDRRATEB15">#REF!</definedName>
    <definedName name="RDRRATEB16" localSheetId="6">#REF!</definedName>
    <definedName name="RDRRATEB16">#REF!</definedName>
    <definedName name="RDRRATEB17" localSheetId="6">#REF!</definedName>
    <definedName name="RDRRATEB17">#REF!</definedName>
    <definedName name="RDRRATEB18" localSheetId="6">#REF!</definedName>
    <definedName name="RDRRATEB18">#REF!</definedName>
    <definedName name="RDRRATEB19" localSheetId="6">#REF!</definedName>
    <definedName name="RDRRATEB19">#REF!</definedName>
    <definedName name="RDRRATEB2" localSheetId="6">#REF!</definedName>
    <definedName name="RDRRATEB2">#REF!</definedName>
    <definedName name="RDRRATEB20" localSheetId="6">#REF!</definedName>
    <definedName name="RDRRATEB20">#REF!</definedName>
    <definedName name="RDRRATEB3" localSheetId="6">#REF!</definedName>
    <definedName name="RDRRATEB3">#REF!</definedName>
    <definedName name="RDRRATEB4" localSheetId="6">#REF!</definedName>
    <definedName name="RDRRATEB4">#REF!</definedName>
    <definedName name="RDRRATEB5" localSheetId="6">#REF!</definedName>
    <definedName name="RDRRATEB5">#REF!</definedName>
    <definedName name="RDRRATEB6" localSheetId="6">#REF!</definedName>
    <definedName name="RDRRATEB6">#REF!</definedName>
    <definedName name="RDRRATEB7" localSheetId="6">#REF!</definedName>
    <definedName name="RDRRATEB7">#REF!</definedName>
    <definedName name="RDRRATEB8" localSheetId="6">#REF!</definedName>
    <definedName name="RDRRATEB8">#REF!</definedName>
    <definedName name="RDRRATEB9" localSheetId="6">#REF!</definedName>
    <definedName name="RDRRATEB9">#REF!</definedName>
    <definedName name="RDRRATED" localSheetId="6">#REF!</definedName>
    <definedName name="RDRRATED">#REF!</definedName>
    <definedName name="RDRRATED1" localSheetId="6">#REF!</definedName>
    <definedName name="RDRRATED1">#REF!</definedName>
    <definedName name="RDRRATED10" localSheetId="6">#REF!</definedName>
    <definedName name="RDRRATED10">#REF!</definedName>
    <definedName name="RDRRATED11" localSheetId="6">#REF!</definedName>
    <definedName name="RDRRATED11">#REF!</definedName>
    <definedName name="RDRRATED12" localSheetId="6">#REF!</definedName>
    <definedName name="RDRRATED12">#REF!</definedName>
    <definedName name="RDRRATED13" localSheetId="6">#REF!</definedName>
    <definedName name="RDRRATED13">#REF!</definedName>
    <definedName name="RDRRATED14" localSheetId="6">#REF!</definedName>
    <definedName name="RDRRATED14">#REF!</definedName>
    <definedName name="RDRRATED15" localSheetId="6">#REF!</definedName>
    <definedName name="RDRRATED15">#REF!</definedName>
    <definedName name="RDRRATED16" localSheetId="6">#REF!</definedName>
    <definedName name="RDRRATED16">#REF!</definedName>
    <definedName name="RDRRATED17" localSheetId="6">#REF!</definedName>
    <definedName name="RDRRATED17">#REF!</definedName>
    <definedName name="RDRRATED18" localSheetId="6">#REF!</definedName>
    <definedName name="RDRRATED18">#REF!</definedName>
    <definedName name="RDRRATED19" localSheetId="6">#REF!</definedName>
    <definedName name="RDRRATED19">#REF!</definedName>
    <definedName name="RDRRATED2" localSheetId="6">#REF!</definedName>
    <definedName name="RDRRATED2">#REF!</definedName>
    <definedName name="RDRRATED20" localSheetId="6">#REF!</definedName>
    <definedName name="RDRRATED20">#REF!</definedName>
    <definedName name="RDRRATED3" localSheetId="6">#REF!</definedName>
    <definedName name="RDRRATED3">#REF!</definedName>
    <definedName name="RDRRATED4" localSheetId="6">#REF!</definedName>
    <definedName name="RDRRATED4">#REF!</definedName>
    <definedName name="RDRRATED5" localSheetId="6">#REF!</definedName>
    <definedName name="RDRRATED5">#REF!</definedName>
    <definedName name="RDRRATED6" localSheetId="6">#REF!</definedName>
    <definedName name="RDRRATED6">#REF!</definedName>
    <definedName name="RDRRATED7" localSheetId="6">#REF!</definedName>
    <definedName name="RDRRATED7">#REF!</definedName>
    <definedName name="RDRRATED8" localSheetId="6">#REF!</definedName>
    <definedName name="RDRRATED8">#REF!</definedName>
    <definedName name="RDRRATED9" localSheetId="6">#REF!</definedName>
    <definedName name="RDRRATED9">#REF!</definedName>
    <definedName name="RDRRATEG" localSheetId="6">#REF!</definedName>
    <definedName name="RDRRATEG">#REF!</definedName>
    <definedName name="RDRRATEG1" localSheetId="6">#REF!</definedName>
    <definedName name="RDRRATEG1">#REF!</definedName>
    <definedName name="RDRRATEG10" localSheetId="6">#REF!</definedName>
    <definedName name="RDRRATEG10">#REF!</definedName>
    <definedName name="RDRRATEG11" localSheetId="6">#REF!</definedName>
    <definedName name="RDRRATEG11">#REF!</definedName>
    <definedName name="RDRRATEG12" localSheetId="6">#REF!</definedName>
    <definedName name="RDRRATEG12">#REF!</definedName>
    <definedName name="RDRRATEG13" localSheetId="6">#REF!</definedName>
    <definedName name="RDRRATEG13">#REF!</definedName>
    <definedName name="RDRRATEG14" localSheetId="6">#REF!</definedName>
    <definedName name="RDRRATEG14">#REF!</definedName>
    <definedName name="RDRRATEG15" localSheetId="6">#REF!</definedName>
    <definedName name="RDRRATEG15">#REF!</definedName>
    <definedName name="RDRRATEG16" localSheetId="6">#REF!</definedName>
    <definedName name="RDRRATEG16">#REF!</definedName>
    <definedName name="RDRRATEG17" localSheetId="6">#REF!</definedName>
    <definedName name="RDRRATEG17">#REF!</definedName>
    <definedName name="RDRRATEG18" localSheetId="6">#REF!</definedName>
    <definedName name="RDRRATEG18">#REF!</definedName>
    <definedName name="RDRRATEG19" localSheetId="6">#REF!</definedName>
    <definedName name="RDRRATEG19">#REF!</definedName>
    <definedName name="RDRRATEG2" localSheetId="6">#REF!</definedName>
    <definedName name="RDRRATEG2">#REF!</definedName>
    <definedName name="RDRRATEG20" localSheetId="6">#REF!</definedName>
    <definedName name="RDRRATEG20">#REF!</definedName>
    <definedName name="RDRRATEG3" localSheetId="6">#REF!</definedName>
    <definedName name="RDRRATEG3">#REF!</definedName>
    <definedName name="RDRRATEG4" localSheetId="6">#REF!</definedName>
    <definedName name="RDRRATEG4">#REF!</definedName>
    <definedName name="RDRRATEG5" localSheetId="6">#REF!</definedName>
    <definedName name="RDRRATEG5">#REF!</definedName>
    <definedName name="RDRRATEG6" localSheetId="6">#REF!</definedName>
    <definedName name="RDRRATEG6">#REF!</definedName>
    <definedName name="RDRRATEG7" localSheetId="6">#REF!</definedName>
    <definedName name="RDRRATEG7">#REF!</definedName>
    <definedName name="RDRRATEG8" localSheetId="6">#REF!</definedName>
    <definedName name="RDRRATEG8">#REF!</definedName>
    <definedName name="RDRRATEG9" localSheetId="6">#REF!</definedName>
    <definedName name="RDRRATEG9">#REF!</definedName>
    <definedName name="RDRRATET" localSheetId="6">#REF!</definedName>
    <definedName name="RDRRATET">#REF!</definedName>
    <definedName name="RDRRATET1" localSheetId="6">#REF!</definedName>
    <definedName name="RDRRATET1">#REF!</definedName>
    <definedName name="RDRRATET10" localSheetId="6">#REF!</definedName>
    <definedName name="RDRRATET10">#REF!</definedName>
    <definedName name="RDRRATET11" localSheetId="6">#REF!</definedName>
    <definedName name="RDRRATET11">#REF!</definedName>
    <definedName name="RDRRATET12" localSheetId="6">#REF!</definedName>
    <definedName name="RDRRATET12">#REF!</definedName>
    <definedName name="RDRRATET13" localSheetId="6">#REF!</definedName>
    <definedName name="RDRRATET13">#REF!</definedName>
    <definedName name="RDRRATET14" localSheetId="6">#REF!</definedName>
    <definedName name="RDRRATET14">#REF!</definedName>
    <definedName name="RDRRATET15" localSheetId="6">#REF!</definedName>
    <definedName name="RDRRATET15">#REF!</definedName>
    <definedName name="RDRRATET16" localSheetId="6">#REF!</definedName>
    <definedName name="RDRRATET16">#REF!</definedName>
    <definedName name="RDRRATET17" localSheetId="6">#REF!</definedName>
    <definedName name="RDRRATET17">#REF!</definedName>
    <definedName name="RDRRATET18" localSheetId="6">#REF!</definedName>
    <definedName name="RDRRATET18">#REF!</definedName>
    <definedName name="RDRRATET19" localSheetId="6">#REF!</definedName>
    <definedName name="RDRRATET19">#REF!</definedName>
    <definedName name="RDRRATET2" localSheetId="6">#REF!</definedName>
    <definedName name="RDRRATET2">#REF!</definedName>
    <definedName name="RDRRATET20" localSheetId="6">#REF!</definedName>
    <definedName name="RDRRATET20">#REF!</definedName>
    <definedName name="RDRRATET3" localSheetId="6">#REF!</definedName>
    <definedName name="RDRRATET3">#REF!</definedName>
    <definedName name="RDRRATET4" localSheetId="6">#REF!</definedName>
    <definedName name="RDRRATET4">#REF!</definedName>
    <definedName name="RDRRATET5" localSheetId="6">#REF!</definedName>
    <definedName name="RDRRATET5">#REF!</definedName>
    <definedName name="RDRRATET6" localSheetId="6">#REF!</definedName>
    <definedName name="RDRRATET6">#REF!</definedName>
    <definedName name="RDRRATET7" localSheetId="6">#REF!</definedName>
    <definedName name="RDRRATET7">#REF!</definedName>
    <definedName name="RDRRATET8" localSheetId="6">#REF!</definedName>
    <definedName name="RDRRATET8">#REF!</definedName>
    <definedName name="RDRRATET9" localSheetId="6">#REF!</definedName>
    <definedName name="RDRRATET9">#REF!</definedName>
    <definedName name="RDRTYPE" localSheetId="6">#REF!</definedName>
    <definedName name="RDRTYPE">#REF!</definedName>
    <definedName name="RDRUNITS" localSheetId="6">#REF!</definedName>
    <definedName name="RDRUNITS">#REF!</definedName>
    <definedName name="_xlnm.Recorder" localSheetId="6">#REF!</definedName>
    <definedName name="_xlnm.Recorder">#REF!</definedName>
    <definedName name="Reserved_Section" localSheetId="6">#REF!</definedName>
    <definedName name="Reserved_Section">#REF!</definedName>
    <definedName name="RIDERS" localSheetId="6">#REF!</definedName>
    <definedName name="RIDERS">#REF!</definedName>
    <definedName name="RKVAHRDNG" localSheetId="6">#REF!</definedName>
    <definedName name="RKVAHRDNG">#REF!</definedName>
    <definedName name="RTCHTCNTRCTCPCT" localSheetId="6">#REF!</definedName>
    <definedName name="RTCHTCNTRCTCPCT">#REF!</definedName>
    <definedName name="RTCHTFCTR" localSheetId="6">#REF!</definedName>
    <definedName name="RTCHTFCTR">#REF!</definedName>
    <definedName name="RTCHTFCTR2" localSheetId="6">#REF!</definedName>
    <definedName name="RTCHTFCTR2">#REF!</definedName>
    <definedName name="RTCHTHIPREVKW" localSheetId="6">#REF!</definedName>
    <definedName name="RTCHTHIPREVKW">#REF!</definedName>
    <definedName name="RTP_Detail" localSheetId="6">#REF!</definedName>
    <definedName name="RTP_Detail">#REF!</definedName>
    <definedName name="RTPLRKW" localSheetId="6">#REF!</definedName>
    <definedName name="RTPLRKW">#REF!</definedName>
    <definedName name="SDI" localSheetId="6">#REF!</definedName>
    <definedName name="SDI">#REF!</definedName>
    <definedName name="SHLDRPKKW" localSheetId="6">#REF!</definedName>
    <definedName name="SHLDRPKKW">#REF!</definedName>
    <definedName name="SHLDRPKKWDT" localSheetId="6">#REF!</definedName>
    <definedName name="SHLDRPKKWDT">#REF!</definedName>
    <definedName name="SHLDRPKKWTM" localSheetId="6">#REF!</definedName>
    <definedName name="SHLDRPKKWTM">#REF!</definedName>
    <definedName name="SHRDTRNSKWH" localSheetId="6">#REF!</definedName>
    <definedName name="SHRDTRNSKWH">#REF!</definedName>
    <definedName name="SRPLSKWH" localSheetId="6">#REF!</definedName>
    <definedName name="SRPLSKWH">#REF!</definedName>
    <definedName name="STARTDTM" localSheetId="6">#REF!</definedName>
    <definedName name="STARTDTM">#REF!</definedName>
    <definedName name="State" localSheetId="6">#REF!</definedName>
    <definedName name="State">#REF!</definedName>
    <definedName name="STDKW" localSheetId="6">#REF!</definedName>
    <definedName name="STDKW">#REF!</definedName>
    <definedName name="STDKWDT" localSheetId="6">#REF!</definedName>
    <definedName name="STDKWDT">#REF!</definedName>
    <definedName name="STDKWTM" localSheetId="6">#REF!</definedName>
    <definedName name="STDKWTM">#REF!</definedName>
    <definedName name="STRTTIME" localSheetId="6">#REF!</definedName>
    <definedName name="STRTTIME">#REF!</definedName>
    <definedName name="SWP_Proj_Allocators" localSheetId="6">#REF!</definedName>
    <definedName name="SWP_Proj_Allocators">#REF!</definedName>
    <definedName name="SWPallocatorsH" localSheetId="6">#REF!</definedName>
    <definedName name="SWPallocatorsH">#REF!</definedName>
    <definedName name="SWPallocatorsP" localSheetId="6">#REF!</definedName>
    <definedName name="SWPallocatorsP">#REF!</definedName>
    <definedName name="SYSPKKW" localSheetId="6">#REF!</definedName>
    <definedName name="SYSPKKW">#REF!</definedName>
    <definedName name="SYSPKKWDT" localSheetId="6">#REF!</definedName>
    <definedName name="SYSPKKWDT">#REF!</definedName>
    <definedName name="SYSPKKWTM" localSheetId="6">#REF!</definedName>
    <definedName name="SYSPKKWTM">#REF!</definedName>
    <definedName name="TARIFF1" localSheetId="6">#REF!</definedName>
    <definedName name="TARIFF1">#REF!</definedName>
    <definedName name="TARIFF2" localSheetId="6">#REF!</definedName>
    <definedName name="TARIFF2">#REF!</definedName>
    <definedName name="TariffCode" localSheetId="6">#REF!</definedName>
    <definedName name="TariffCode">#REF!</definedName>
    <definedName name="TariffLongName" localSheetId="6">#REF!</definedName>
    <definedName name="TariffLongName">#REF!</definedName>
    <definedName name="TariffShortName" localSheetId="6">#REF!</definedName>
    <definedName name="TariffShortName">#REF!</definedName>
    <definedName name="TAXDATE" localSheetId="6">#REF!</definedName>
    <definedName name="TAXDATE">#REF!</definedName>
    <definedName name="TAXES" localSheetId="6">#REF!</definedName>
    <definedName name="TAXES">#REF!</definedName>
    <definedName name="TAXNAME" localSheetId="6">#REF!</definedName>
    <definedName name="TAXNAME">#REF!</definedName>
    <definedName name="TAXRATE" localSheetId="6">#REF!</definedName>
    <definedName name="TAXRATE">#REF!</definedName>
    <definedName name="TAXTYPE" localSheetId="6">#REF!</definedName>
    <definedName name="TAXTYPE">#REF!</definedName>
    <definedName name="TCst" localSheetId="6">#REF!</definedName>
    <definedName name="TCst">#REF!</definedName>
    <definedName name="TCst1" localSheetId="6">#REF!</definedName>
    <definedName name="TCst1">#REF!</definedName>
    <definedName name="TIRPCCHG" localSheetId="6">#REF!</definedName>
    <definedName name="TIRPCCHG">#REF!</definedName>
    <definedName name="TIRPDCHG1" localSheetId="6">#REF!</definedName>
    <definedName name="TIRPDCHG1">#REF!</definedName>
    <definedName name="TIRPDCHG2" localSheetId="6">#REF!</definedName>
    <definedName name="TIRPDCHG2">#REF!</definedName>
    <definedName name="TIRPECHG1" localSheetId="6">#REF!</definedName>
    <definedName name="TIRPECHG1">#REF!</definedName>
    <definedName name="TIRPECHGB1" localSheetId="6">#REF!</definedName>
    <definedName name="TIRPECHGB1">#REF!</definedName>
    <definedName name="TIRPECHGB2" localSheetId="6">#REF!</definedName>
    <definedName name="TIRPECHGB2">#REF!</definedName>
    <definedName name="TIRPECHGB3" localSheetId="6">#REF!</definedName>
    <definedName name="TIRPECHGB3">#REF!</definedName>
    <definedName name="TIRPMECHG1" localSheetId="6">#REF!</definedName>
    <definedName name="TIRPMECHG1">#REF!</definedName>
    <definedName name="TIRPMINDC" localSheetId="6">#REF!</definedName>
    <definedName name="TIRPMINDC">#REF!</definedName>
    <definedName name="TIRPMINEC" localSheetId="6">#REF!</definedName>
    <definedName name="TIRPMINEC">#REF!</definedName>
    <definedName name="TIRPOFKVA" localSheetId="6">#REF!</definedName>
    <definedName name="TIRPOFKVA">#REF!</definedName>
    <definedName name="TIRPOFKW" localSheetId="6">#REF!</definedName>
    <definedName name="TIRPOFKW">#REF!</definedName>
    <definedName name="TIRPOFKWH" localSheetId="6">#REF!</definedName>
    <definedName name="TIRPOFKWH">#REF!</definedName>
    <definedName name="TIRPOPKWH" localSheetId="6">#REF!</definedName>
    <definedName name="TIRPOPKWH">#REF!</definedName>
    <definedName name="TIRPP1EC" localSheetId="6">#REF!</definedName>
    <definedName name="TIRPP1EC">#REF!</definedName>
    <definedName name="TIRPP2EC" localSheetId="6">#REF!</definedName>
    <definedName name="TIRPP2EC">#REF!</definedName>
    <definedName name="TIRPP3EC" localSheetId="6">#REF!</definedName>
    <definedName name="TIRPP3EC">#REF!</definedName>
    <definedName name="TIRPP4EC" localSheetId="6">#REF!</definedName>
    <definedName name="TIRPP4EC">#REF!</definedName>
    <definedName name="TIRPP5EC" localSheetId="6">#REF!</definedName>
    <definedName name="TIRPP5EC">#REF!</definedName>
    <definedName name="TIRPRCHG" localSheetId="6">#REF!</definedName>
    <definedName name="TIRPRCHG">#REF!</definedName>
    <definedName name="TLsFctr" localSheetId="6">#REF!</definedName>
    <definedName name="TLsFctr">#REF!</definedName>
    <definedName name="TRCRDKWH" localSheetId="6">#REF!</definedName>
    <definedName name="TRCRDKWH">#REF!</definedName>
    <definedName name="TRCRDKWH2P" localSheetId="6">#REF!</definedName>
    <definedName name="TRCRDKWH2P">#REF!</definedName>
    <definedName name="TRFDATE1" localSheetId="6">#REF!</definedName>
    <definedName name="TRFDATE1">#REF!</definedName>
    <definedName name="TRFDATE2" localSheetId="6">#REF!</definedName>
    <definedName name="TRFDATE2">#REF!</definedName>
    <definedName name="TRFNAME1" localSheetId="6">#REF!</definedName>
    <definedName name="TRFNAME1">#REF!</definedName>
    <definedName name="TRFNAME2" localSheetId="6">#REF!</definedName>
    <definedName name="TRFNAME2">#REF!</definedName>
    <definedName name="TRFSHORTNM1" localSheetId="6">#REF!</definedName>
    <definedName name="TRFSHORTNM1">#REF!</definedName>
    <definedName name="TRFSHORTNM2" localSheetId="6">#REF!</definedName>
    <definedName name="TRFSHORTNM2">#REF!</definedName>
    <definedName name="TrnBlkKwhChg1" localSheetId="6">#REF!</definedName>
    <definedName name="TrnBlkKwhChg1">#REF!</definedName>
    <definedName name="TrnBlkKwhChg2" localSheetId="6">#REF!</definedName>
    <definedName name="TrnBlkKwhChg2">#REF!</definedName>
    <definedName name="TrnBlkKwhChg3" localSheetId="6">#REF!</definedName>
    <definedName name="TrnBlkKwhChg3">#REF!</definedName>
    <definedName name="TrnBlkKwhChgT" localSheetId="6">#REF!</definedName>
    <definedName name="TrnBlkKwhChgT">#REF!</definedName>
    <definedName name="TRNCCHG" localSheetId="6">#REF!</definedName>
    <definedName name="TRNCCHG">#REF!</definedName>
    <definedName name="TrnCustChg" localSheetId="6">#REF!</definedName>
    <definedName name="TrnCustChg">#REF!</definedName>
    <definedName name="TRNDCHG1" localSheetId="6">#REF!</definedName>
    <definedName name="TRNDCHG1">#REF!</definedName>
    <definedName name="TRNDCHG2" localSheetId="6">#REF!</definedName>
    <definedName name="TRNDCHG2">#REF!</definedName>
    <definedName name="TrnDmdChg1" localSheetId="6">#REF!</definedName>
    <definedName name="TrnDmdChg1">#REF!</definedName>
    <definedName name="TrnDmdChg2" localSheetId="6">#REF!</definedName>
    <definedName name="TrnDmdChg2">#REF!</definedName>
    <definedName name="TRNECHG1" localSheetId="6">#REF!</definedName>
    <definedName name="TRNECHG1">#REF!</definedName>
    <definedName name="TRNECHGB1" localSheetId="6">#REF!</definedName>
    <definedName name="TRNECHGB1">#REF!</definedName>
    <definedName name="TRNECHGB2" localSheetId="6">#REF!</definedName>
    <definedName name="TRNECHGB2">#REF!</definedName>
    <definedName name="TRNECHGB3" localSheetId="6">#REF!</definedName>
    <definedName name="TRNECHGB3">#REF!</definedName>
    <definedName name="TrnMEChg" localSheetId="6">#REF!</definedName>
    <definedName name="TrnMEChg">#REF!</definedName>
    <definedName name="TRNMECHG1" localSheetId="6">#REF!</definedName>
    <definedName name="TRNMECHG1">#REF!</definedName>
    <definedName name="TRNMINDC" localSheetId="6">#REF!</definedName>
    <definedName name="TRNMINDC">#REF!</definedName>
    <definedName name="TrnMinDChg" localSheetId="6">#REF!</definedName>
    <definedName name="TrnMinDChg">#REF!</definedName>
    <definedName name="TRNMINEC" localSheetId="6">#REF!</definedName>
    <definedName name="TRNMINEC">#REF!</definedName>
    <definedName name="TrnMinEChg" localSheetId="6">#REF!</definedName>
    <definedName name="TrnMinEChg">#REF!</definedName>
    <definedName name="TrnOffPkKwh" localSheetId="6">#REF!</definedName>
    <definedName name="TrnOffPkKwh">#REF!</definedName>
    <definedName name="TRNOFKWH" localSheetId="6">#REF!</definedName>
    <definedName name="TRNOFKWH">#REF!</definedName>
    <definedName name="TrnOnPkKwh" localSheetId="6">#REF!</definedName>
    <definedName name="TrnOnPkKwh">#REF!</definedName>
    <definedName name="TRNOPKWH" localSheetId="6">#REF!</definedName>
    <definedName name="TRNOPKWH">#REF!</definedName>
    <definedName name="TRNP1EC" localSheetId="6">#REF!</definedName>
    <definedName name="TRNP1EC">#REF!</definedName>
    <definedName name="TRNP2EC" localSheetId="6">#REF!</definedName>
    <definedName name="TRNP2EC">#REF!</definedName>
    <definedName name="TRNP3EC" localSheetId="6">#REF!</definedName>
    <definedName name="TRNP3EC">#REF!</definedName>
    <definedName name="TRNP4EC" localSheetId="6">#REF!</definedName>
    <definedName name="TRNP4EC">#REF!</definedName>
    <definedName name="TRNP5EC" localSheetId="6">#REF!</definedName>
    <definedName name="TRNP5EC">#REF!</definedName>
    <definedName name="TrnPL1Chg" localSheetId="6">#REF!</definedName>
    <definedName name="TrnPL1Chg">#REF!</definedName>
    <definedName name="TrnPL2Chg" localSheetId="6">#REF!</definedName>
    <definedName name="TrnPL2Chg">#REF!</definedName>
    <definedName name="TrnPL3Chg" localSheetId="6">#REF!</definedName>
    <definedName name="TrnPL3Chg">#REF!</definedName>
    <definedName name="TrnPL4Chg" localSheetId="6">#REF!</definedName>
    <definedName name="TrnPL4Chg">#REF!</definedName>
    <definedName name="TrnPL5Chg" localSheetId="6">#REF!</definedName>
    <definedName name="TrnPL5Chg">#REF!</definedName>
    <definedName name="TRNRCHG" localSheetId="6">#REF!</definedName>
    <definedName name="TRNRCHG">#REF!</definedName>
    <definedName name="TrnReactiveChg" localSheetId="6">#REF!</definedName>
    <definedName name="TrnReactiveChg">#REF!</definedName>
    <definedName name="TRNSKWTOFPK" localSheetId="6">#REF!</definedName>
    <definedName name="TRNSKWTOFPK">#REF!</definedName>
    <definedName name="TRNSKWTONPK" localSheetId="6">#REF!</definedName>
    <definedName name="TRNSKWTONPK">#REF!</definedName>
    <definedName name="TRNXOFKVA" localSheetId="6">#REF!</definedName>
    <definedName name="TRNXOFKVA">#REF!</definedName>
    <definedName name="TRNXOFKW" localSheetId="6">#REF!</definedName>
    <definedName name="TRNXOFKW">#REF!</definedName>
    <definedName name="TrnXOfpKvaChg" localSheetId="6">#REF!</definedName>
    <definedName name="TrnXOfpKvaChg">#REF!</definedName>
    <definedName name="TrnXOfpKwChg" localSheetId="6">#REF!</definedName>
    <definedName name="TrnXOfpKwChg">#REF!</definedName>
    <definedName name="TTLBSRATETTL" localSheetId="6">#REF!</definedName>
    <definedName name="TTLBSRATETTL">#REF!</definedName>
    <definedName name="TTLCOGENKWH" localSheetId="6">#REF!</definedName>
    <definedName name="TTLCOGENKWH">#REF!</definedName>
    <definedName name="UNBUNDIND" localSheetId="6">#REF!</definedName>
    <definedName name="UNBUNDIND">#REF!</definedName>
    <definedName name="Z_3768C7C8_9953_11DA_B318_000FB55D51DC_.wvu.PrintArea" localSheetId="20" hidden="1">'Worksheet O'!#REF!</definedName>
    <definedName name="Z_3768C7C8_9953_11DA_B318_000FB55D51DC_.wvu.PrintArea" localSheetId="7" hidden="1">'WS C  - Working Capital'!$A$10:$N$83</definedName>
    <definedName name="Z_3768C7C8_9953_11DA_B318_000FB55D51DC_.wvu.PrintTitles" localSheetId="20" hidden="1">'Worksheet O'!#REF!</definedName>
    <definedName name="Z_3768C7C8_9953_11DA_B318_000FB55D51DC_.wvu.PrintTitles" localSheetId="7" hidden="1">'WS C  - Working Capital'!#REF!</definedName>
    <definedName name="Z_3768C7C8_9953_11DA_B318_000FB55D51DC_.wvu.Rows" localSheetId="20" hidden="1">'Worksheet O'!#REF!</definedName>
    <definedName name="Z_3768C7C8_9953_11DA_B318_000FB55D51DC_.wvu.Rows" localSheetId="7" hidden="1">'WS C  - Working Capital'!#REF!</definedName>
    <definedName name="Z_3BDD6235_B127_4929_8311_BDAF7BB89818_.wvu.PrintArea" localSheetId="20" hidden="1">'Worksheet O'!#REF!</definedName>
    <definedName name="Z_3BDD6235_B127_4929_8311_BDAF7BB89818_.wvu.PrintArea" localSheetId="7" hidden="1">'WS C  - Working Capital'!$A$10:$N$83</definedName>
    <definedName name="Z_3BDD6235_B127_4929_8311_BDAF7BB89818_.wvu.PrintTitles" localSheetId="20" hidden="1">'Worksheet O'!#REF!</definedName>
    <definedName name="Z_3BDD6235_B127_4929_8311_BDAF7BB89818_.wvu.PrintTitles" localSheetId="7" hidden="1">'WS C  - Working Capital'!#REF!</definedName>
    <definedName name="Z_3BDD6235_B127_4929_8311_BDAF7BB89818_.wvu.Rows" localSheetId="20" hidden="1">'Worksheet O'!#REF!</definedName>
    <definedName name="Z_3BDD6235_B127_4929_8311_BDAF7BB89818_.wvu.Rows" localSheetId="7" hidden="1">'WS C  - Working Capital'!#REF!</definedName>
    <definedName name="Z_B0241363_5C8A_48FC_89A6_56D55586BABE_.wvu.PrintArea" localSheetId="20" hidden="1">'Worksheet O'!#REF!</definedName>
    <definedName name="Z_B0241363_5C8A_48FC_89A6_56D55586BABE_.wvu.PrintArea" localSheetId="7" hidden="1">'WS C  - Working Capital'!$A$10:$N$83</definedName>
    <definedName name="Z_B0241363_5C8A_48FC_89A6_56D55586BABE_.wvu.PrintTitles" localSheetId="20" hidden="1">'Worksheet O'!#REF!</definedName>
    <definedName name="Z_B0241363_5C8A_48FC_89A6_56D55586BABE_.wvu.PrintTitles" localSheetId="7" hidden="1">'WS C  - Working Capital'!#REF!</definedName>
    <definedName name="Z_B0241363_5C8A_48FC_89A6_56D55586BABE_.wvu.Rows" localSheetId="20" hidden="1">'Worksheet O'!#REF!</definedName>
    <definedName name="Z_B0241363_5C8A_48FC_89A6_56D55586BABE_.wvu.Rows" localSheetId="7" hidden="1">'WS C  - Working Capital'!#REF!</definedName>
    <definedName name="Z_C0EA0F9F_7310_4201_82C9_7B8FC8DB9137_.wvu.PrintArea" localSheetId="20" hidden="1">'Worksheet O'!#REF!</definedName>
    <definedName name="Z_C0EA0F9F_7310_4201_82C9_7B8FC8DB9137_.wvu.PrintArea" localSheetId="7" hidden="1">'WS C  - Working Capital'!$A$10:$N$83</definedName>
    <definedName name="Z_C0EA0F9F_7310_4201_82C9_7B8FC8DB9137_.wvu.PrintTitles" localSheetId="20" hidden="1">'Worksheet O'!#REF!</definedName>
    <definedName name="Z_C0EA0F9F_7310_4201_82C9_7B8FC8DB9137_.wvu.PrintTitles" localSheetId="7" hidden="1">'WS C  - Working Capital'!#REF!</definedName>
    <definedName name="Z_C0EA0F9F_7310_4201_82C9_7B8FC8DB9137_.wvu.Rows" localSheetId="20" hidden="1">'Worksheet O'!#REF!</definedName>
    <definedName name="Z_C0EA0F9F_7310_4201_82C9_7B8FC8DB9137_.wvu.Rows" localSheetId="7" hidden="1">'WS C  - Working Capital'!#REF!</definedName>
    <definedName name="Z_C5140E12_E05E_4473_9142_42F37320A417_.wvu.Cols" localSheetId="13" hidden="1">'WS H-p2 Detail of Tax Amts'!$F:$F</definedName>
    <definedName name="Z_C5140E12_E05E_4473_9142_42F37320A417_.wvu.PrintArea" localSheetId="13" hidden="1">'WS H-p2 Detail of Tax Amts'!$A$3:$F$104</definedName>
    <definedName name="Z_C5140E12_E05E_4473_9142_42F37320A417_.wvu.PrintArea" localSheetId="15" hidden="1">'WS J PROJECTED RTEP RR'!$A$3:$O$83</definedName>
    <definedName name="Z_C5140E12_E05E_4473_9142_42F37320A417_.wvu.PrintTitles" localSheetId="13" hidden="1">'WS H-p2 Detail of Tax Amts'!$3:$6</definedName>
    <definedName name="Zip" localSheetId="6">#REF!</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37" l="1"/>
  <c r="C48" i="37"/>
  <c r="C30" i="37"/>
  <c r="I30" i="37"/>
  <c r="K30" i="37"/>
  <c r="D30" i="37"/>
  <c r="G48" i="37" l="1"/>
  <c r="G30" i="37"/>
  <c r="J30" i="37"/>
  <c r="D16" i="40" l="1"/>
  <c r="P24" i="42" l="1"/>
  <c r="P23" i="42"/>
  <c r="P22" i="42"/>
  <c r="P21" i="42"/>
  <c r="Q20" i="42"/>
  <c r="M51" i="37" l="1"/>
  <c r="O51" i="37"/>
  <c r="Q51" i="37"/>
  <c r="S51" i="37"/>
  <c r="J18" i="37"/>
  <c r="J17" i="37"/>
  <c r="K18" i="37"/>
  <c r="I18" i="37"/>
  <c r="C18" i="37"/>
  <c r="A18" i="37"/>
  <c r="A19" i="37" s="1"/>
  <c r="A20" i="37" s="1"/>
  <c r="A21" i="37" s="1"/>
  <c r="A22" i="37" s="1"/>
  <c r="A23" i="37" s="1"/>
  <c r="A24" i="37" s="1"/>
  <c r="A25" i="37" s="1"/>
  <c r="K17" i="37"/>
  <c r="I17" i="37"/>
  <c r="C17" i="37"/>
  <c r="D18" i="37" l="1"/>
  <c r="R51" i="37"/>
  <c r="D17" i="37"/>
  <c r="G18" i="37" l="1"/>
  <c r="G17" i="37"/>
  <c r="J32" i="42" l="1"/>
  <c r="I32" i="42"/>
  <c r="I44" i="6"/>
  <c r="K44" i="6" s="1"/>
  <c r="E44" i="6" s="1"/>
  <c r="C60" i="36"/>
  <c r="D60" i="36"/>
  <c r="D45" i="36"/>
  <c r="C45" i="36"/>
  <c r="G45" i="36" l="1"/>
  <c r="E107" i="2" l="1"/>
  <c r="N51" i="37"/>
  <c r="E86" i="2"/>
  <c r="G165" i="2"/>
  <c r="H230" i="2"/>
  <c r="I70" i="6"/>
  <c r="K70" i="6" s="1"/>
  <c r="I69" i="6"/>
  <c r="K69" i="6" s="1"/>
  <c r="I19" i="6"/>
  <c r="G107" i="2" s="1"/>
  <c r="H62" i="38"/>
  <c r="G62" i="38"/>
  <c r="I42" i="38"/>
  <c r="G79" i="2" s="1"/>
  <c r="H42" i="38"/>
  <c r="G78" i="2" s="1"/>
  <c r="I23" i="38"/>
  <c r="G69" i="2" s="1"/>
  <c r="H23" i="38"/>
  <c r="G68" i="2" s="1"/>
  <c r="F27" i="10"/>
  <c r="F23" i="10"/>
  <c r="F19" i="10"/>
  <c r="L221" i="2" l="1"/>
  <c r="L220" i="2"/>
  <c r="G86" i="2"/>
  <c r="I67" i="6"/>
  <c r="K67" i="6" s="1"/>
  <c r="E67" i="6" s="1"/>
  <c r="I68" i="6"/>
  <c r="K68" i="6" s="1"/>
  <c r="E68" i="6" s="1"/>
  <c r="I66" i="6"/>
  <c r="K66" i="6" s="1"/>
  <c r="E66" i="6" s="1"/>
  <c r="L222" i="2" l="1"/>
  <c r="L224" i="2" s="1"/>
  <c r="J153" i="2" s="1"/>
  <c r="L153" i="2" s="1"/>
  <c r="J78" i="2" l="1"/>
  <c r="L78" i="2" s="1"/>
  <c r="J107" i="2"/>
  <c r="L107" i="2" s="1"/>
  <c r="J68" i="2"/>
  <c r="L68" i="2" s="1"/>
  <c r="J69" i="2"/>
  <c r="L69" i="2" s="1"/>
  <c r="J230" i="2"/>
  <c r="L230" i="2" s="1"/>
  <c r="J79" i="2"/>
  <c r="L79" i="2" s="1"/>
  <c r="J164" i="2"/>
  <c r="L164" i="2" s="1"/>
  <c r="L86" i="2" l="1"/>
  <c r="D55" i="36" l="1"/>
  <c r="D54" i="36"/>
  <c r="C55" i="36"/>
  <c r="K55" i="36"/>
  <c r="I55" i="36"/>
  <c r="K54" i="36"/>
  <c r="I54" i="36"/>
  <c r="J29" i="36"/>
  <c r="J30" i="36"/>
  <c r="D31" i="36"/>
  <c r="J32" i="36"/>
  <c r="J33" i="36"/>
  <c r="J34" i="36"/>
  <c r="D35" i="36"/>
  <c r="D36" i="36"/>
  <c r="D37" i="36"/>
  <c r="J38" i="36"/>
  <c r="J39" i="36"/>
  <c r="D40" i="36"/>
  <c r="J28" i="36"/>
  <c r="K40" i="36"/>
  <c r="I40" i="36"/>
  <c r="C40" i="36"/>
  <c r="K39" i="36"/>
  <c r="I39" i="36"/>
  <c r="C39" i="36"/>
  <c r="K38" i="36"/>
  <c r="I38" i="36"/>
  <c r="C38" i="36"/>
  <c r="K37" i="36"/>
  <c r="I37" i="36"/>
  <c r="C37" i="36"/>
  <c r="K36" i="36"/>
  <c r="I36" i="36"/>
  <c r="C36" i="36"/>
  <c r="K35" i="36"/>
  <c r="I35" i="36"/>
  <c r="C35" i="36"/>
  <c r="K34" i="36"/>
  <c r="I34" i="36"/>
  <c r="C34" i="36"/>
  <c r="K33" i="36"/>
  <c r="I33" i="36"/>
  <c r="C33" i="36"/>
  <c r="K32" i="36"/>
  <c r="I32" i="36"/>
  <c r="C32" i="36"/>
  <c r="K31" i="36"/>
  <c r="I31" i="36"/>
  <c r="C31" i="36"/>
  <c r="K30" i="36"/>
  <c r="I30" i="36"/>
  <c r="C30" i="36"/>
  <c r="K29" i="36"/>
  <c r="I29" i="36"/>
  <c r="C29" i="36"/>
  <c r="K28" i="36"/>
  <c r="I28" i="36"/>
  <c r="C28" i="36"/>
  <c r="J54" i="36" l="1"/>
  <c r="J55" i="36"/>
  <c r="G55" i="36"/>
  <c r="C54" i="36"/>
  <c r="G54" i="36" s="1"/>
  <c r="D32" i="36"/>
  <c r="J40" i="36"/>
  <c r="J31" i="36"/>
  <c r="D39" i="36"/>
  <c r="J36" i="36"/>
  <c r="D30" i="36"/>
  <c r="D38" i="36"/>
  <c r="D33" i="36"/>
  <c r="D28" i="36"/>
  <c r="D29" i="36"/>
  <c r="J37" i="36"/>
  <c r="D34" i="36"/>
  <c r="G31" i="36"/>
  <c r="J35" i="36"/>
  <c r="G35" i="36"/>
  <c r="G40" i="36"/>
  <c r="G37" i="36"/>
  <c r="G36" i="36"/>
  <c r="G29" i="36" l="1"/>
  <c r="G32" i="36"/>
  <c r="G33" i="36"/>
  <c r="G28" i="36"/>
  <c r="G38" i="36"/>
  <c r="G30" i="36"/>
  <c r="G39" i="36"/>
  <c r="G34" i="36"/>
  <c r="F15" i="10" l="1"/>
  <c r="F11" i="10"/>
  <c r="J20" i="37"/>
  <c r="C24" i="37"/>
  <c r="J25" i="37"/>
  <c r="C26" i="37"/>
  <c r="J28" i="37"/>
  <c r="C32" i="37"/>
  <c r="J33" i="37"/>
  <c r="C34" i="37"/>
  <c r="J36" i="37"/>
  <c r="C40" i="37"/>
  <c r="J19" i="37"/>
  <c r="K40" i="37"/>
  <c r="I40" i="37"/>
  <c r="D40" i="37"/>
  <c r="K39" i="37"/>
  <c r="J39" i="37"/>
  <c r="I39" i="37"/>
  <c r="D39" i="37"/>
  <c r="C39" i="37"/>
  <c r="K38" i="37"/>
  <c r="J38" i="37"/>
  <c r="I38" i="37"/>
  <c r="D38" i="37"/>
  <c r="C38" i="37"/>
  <c r="K37" i="37"/>
  <c r="J37" i="37"/>
  <c r="I37" i="37"/>
  <c r="D37" i="37"/>
  <c r="C37" i="37"/>
  <c r="K36" i="37"/>
  <c r="I36" i="37"/>
  <c r="D36" i="37"/>
  <c r="C36" i="37"/>
  <c r="K35" i="37"/>
  <c r="J35" i="37"/>
  <c r="I35" i="37"/>
  <c r="D35" i="37"/>
  <c r="C35" i="37"/>
  <c r="K34" i="37"/>
  <c r="I34" i="37"/>
  <c r="D34" i="37"/>
  <c r="K33" i="37"/>
  <c r="I33" i="37"/>
  <c r="D33" i="37"/>
  <c r="C33" i="37"/>
  <c r="K32" i="37"/>
  <c r="I32" i="37"/>
  <c r="D32" i="37"/>
  <c r="K31" i="37"/>
  <c r="J31" i="37"/>
  <c r="I31" i="37"/>
  <c r="D31" i="37"/>
  <c r="C31" i="37"/>
  <c r="K29" i="37"/>
  <c r="J29" i="37"/>
  <c r="I29" i="37"/>
  <c r="D29" i="37"/>
  <c r="C29" i="37"/>
  <c r="K28" i="37"/>
  <c r="I28" i="37"/>
  <c r="D28" i="37"/>
  <c r="C28" i="37"/>
  <c r="K27" i="37"/>
  <c r="J27" i="37"/>
  <c r="I27" i="37"/>
  <c r="D27" i="37"/>
  <c r="C27" i="37"/>
  <c r="K26" i="37"/>
  <c r="I26" i="37"/>
  <c r="D26" i="37"/>
  <c r="K25" i="37"/>
  <c r="I25" i="37"/>
  <c r="D25" i="37"/>
  <c r="C25" i="37"/>
  <c r="K24" i="37"/>
  <c r="I24" i="37"/>
  <c r="D24" i="37"/>
  <c r="K23" i="37"/>
  <c r="J23" i="37"/>
  <c r="I23" i="37"/>
  <c r="D23" i="37"/>
  <c r="C23" i="37"/>
  <c r="K22" i="37"/>
  <c r="J22" i="37"/>
  <c r="I22" i="37"/>
  <c r="D22" i="37"/>
  <c r="C22" i="37"/>
  <c r="K21" i="37"/>
  <c r="J21" i="37"/>
  <c r="I21" i="37"/>
  <c r="D21" i="37"/>
  <c r="C21" i="37"/>
  <c r="K20" i="37"/>
  <c r="I20" i="37"/>
  <c r="D20" i="37"/>
  <c r="C20" i="37"/>
  <c r="K19" i="37"/>
  <c r="I19" i="37"/>
  <c r="D19" i="37"/>
  <c r="F29" i="10" l="1"/>
  <c r="G28" i="37"/>
  <c r="G35" i="37"/>
  <c r="G21" i="37"/>
  <c r="G27" i="37"/>
  <c r="G34" i="37"/>
  <c r="G37" i="37"/>
  <c r="G29" i="37"/>
  <c r="G32" i="37"/>
  <c r="G20" i="37"/>
  <c r="G40" i="37"/>
  <c r="G24" i="37"/>
  <c r="G36" i="37"/>
  <c r="G23" i="37"/>
  <c r="J24" i="37"/>
  <c r="G31" i="37"/>
  <c r="J32" i="37"/>
  <c r="J40" i="37"/>
  <c r="J26" i="37"/>
  <c r="J34" i="37"/>
  <c r="G25" i="37"/>
  <c r="G33" i="37"/>
  <c r="C19" i="37"/>
  <c r="G22" i="37"/>
  <c r="G38" i="37"/>
  <c r="G26" i="37"/>
  <c r="G39" i="37"/>
  <c r="G19" i="37" l="1"/>
  <c r="I46" i="6" l="1"/>
  <c r="K46" i="6" s="1"/>
  <c r="C39" i="41"/>
  <c r="C40" i="41" s="1"/>
  <c r="C41" i="41" s="1"/>
  <c r="C42" i="41" s="1"/>
  <c r="C43" i="41" s="1"/>
  <c r="C44" i="41" s="1"/>
  <c r="C45" i="41" s="1"/>
  <c r="C46" i="41" s="1"/>
  <c r="C47" i="41" s="1"/>
  <c r="C48" i="41" s="1"/>
  <c r="C49" i="41" s="1"/>
  <c r="C50" i="41" s="1"/>
  <c r="C36" i="41"/>
  <c r="C21" i="41"/>
  <c r="C22" i="41" s="1"/>
  <c r="C23" i="41" s="1"/>
  <c r="C24" i="41" s="1"/>
  <c r="C25" i="41" s="1"/>
  <c r="C26" i="41" s="1"/>
  <c r="C27" i="41" s="1"/>
  <c r="C28" i="41" s="1"/>
  <c r="C29" i="41" s="1"/>
  <c r="C30" i="41" s="1"/>
  <c r="C31" i="41" s="1"/>
  <c r="C32" i="41" s="1"/>
  <c r="C39" i="35"/>
  <c r="C40" i="35" s="1"/>
  <c r="C41" i="35" s="1"/>
  <c r="C42" i="35" s="1"/>
  <c r="C43" i="35" s="1"/>
  <c r="C44" i="35" s="1"/>
  <c r="C45" i="35" s="1"/>
  <c r="C46" i="35" s="1"/>
  <c r="C47" i="35" s="1"/>
  <c r="C48" i="35" s="1"/>
  <c r="C49" i="35" s="1"/>
  <c r="C50" i="35" s="1"/>
  <c r="C36" i="35"/>
  <c r="C21" i="35"/>
  <c r="C22" i="35" s="1"/>
  <c r="C23" i="35" s="1"/>
  <c r="C24" i="35" s="1"/>
  <c r="C25" i="35" s="1"/>
  <c r="C26" i="35" s="1"/>
  <c r="C27" i="35" s="1"/>
  <c r="C28" i="35" s="1"/>
  <c r="C29" i="35" s="1"/>
  <c r="C30" i="35" s="1"/>
  <c r="C31" i="35" s="1"/>
  <c r="C32" i="35" s="1"/>
  <c r="O1197" i="13" l="1"/>
  <c r="M1197" i="13"/>
  <c r="O1196" i="13"/>
  <c r="M1196" i="13"/>
  <c r="O1195" i="13"/>
  <c r="M1195" i="13"/>
  <c r="O1194" i="13"/>
  <c r="M1194" i="13"/>
  <c r="O1193" i="13"/>
  <c r="M1193" i="13"/>
  <c r="O1192" i="13"/>
  <c r="M1192" i="13"/>
  <c r="O1191" i="13"/>
  <c r="M1191" i="13"/>
  <c r="O1190" i="13"/>
  <c r="M1190" i="13"/>
  <c r="O1189" i="13"/>
  <c r="M1189" i="13"/>
  <c r="O1188" i="13"/>
  <c r="M1188" i="13"/>
  <c r="O1187" i="13"/>
  <c r="M1187" i="13"/>
  <c r="O1186" i="13"/>
  <c r="M1186" i="13"/>
  <c r="O1185" i="13"/>
  <c r="M1185" i="13"/>
  <c r="O1184" i="13"/>
  <c r="M1184" i="13"/>
  <c r="O1183" i="13"/>
  <c r="M1183" i="13"/>
  <c r="O1182" i="13"/>
  <c r="M1182" i="13"/>
  <c r="O1181" i="13"/>
  <c r="M1181" i="13"/>
  <c r="O1180" i="13"/>
  <c r="M1180" i="13"/>
  <c r="O1179" i="13"/>
  <c r="M1179" i="13"/>
  <c r="O1178" i="13"/>
  <c r="M1178" i="13"/>
  <c r="O1177" i="13"/>
  <c r="M1177" i="13"/>
  <c r="O1176" i="13"/>
  <c r="M1176" i="13"/>
  <c r="O1175" i="13"/>
  <c r="M1175" i="13"/>
  <c r="O1174" i="13"/>
  <c r="M1174" i="13"/>
  <c r="O1173" i="13"/>
  <c r="M1173" i="13"/>
  <c r="O1172" i="13"/>
  <c r="M1172" i="13"/>
  <c r="O1171" i="13"/>
  <c r="M1171" i="13"/>
  <c r="O1170" i="13"/>
  <c r="M1170" i="13"/>
  <c r="O1169" i="13"/>
  <c r="M1169" i="13"/>
  <c r="O1168" i="13"/>
  <c r="M1168" i="13"/>
  <c r="O1167" i="13"/>
  <c r="M1167" i="13"/>
  <c r="O1166" i="13"/>
  <c r="M1166" i="13"/>
  <c r="O1165" i="13"/>
  <c r="M1165" i="13"/>
  <c r="O1164" i="13"/>
  <c r="M1164" i="13"/>
  <c r="O1163" i="13"/>
  <c r="M1163" i="13"/>
  <c r="O1162" i="13"/>
  <c r="M1162" i="13"/>
  <c r="O1161" i="13"/>
  <c r="M1161" i="13"/>
  <c r="O1160" i="13"/>
  <c r="M1160" i="13"/>
  <c r="O1159" i="13"/>
  <c r="M1159" i="13"/>
  <c r="O1158" i="13"/>
  <c r="M1158" i="13"/>
  <c r="O1157" i="13"/>
  <c r="M1157" i="13"/>
  <c r="O1156" i="13"/>
  <c r="M1156" i="13"/>
  <c r="O1155" i="13"/>
  <c r="M1155" i="13"/>
  <c r="O1154" i="13"/>
  <c r="M1154" i="13"/>
  <c r="O1153" i="13"/>
  <c r="M1153" i="13"/>
  <c r="O1152" i="13"/>
  <c r="M1152" i="13"/>
  <c r="O1151" i="13"/>
  <c r="M1151" i="13"/>
  <c r="O1150" i="13"/>
  <c r="M1150" i="13"/>
  <c r="O1149" i="13"/>
  <c r="M1149" i="13"/>
  <c r="O1148" i="13"/>
  <c r="M1148" i="13"/>
  <c r="O1147" i="13"/>
  <c r="M1147" i="13"/>
  <c r="O1146" i="13"/>
  <c r="M1146" i="13"/>
  <c r="O1145" i="13"/>
  <c r="M1145" i="13"/>
  <c r="O1144" i="13"/>
  <c r="M1144" i="13"/>
  <c r="O1143" i="13"/>
  <c r="M1143" i="13"/>
  <c r="O1140" i="13"/>
  <c r="M1140" i="13"/>
  <c r="D1138" i="13"/>
  <c r="C1138" i="13"/>
  <c r="C1139" i="13" s="1"/>
  <c r="C1140" i="13" s="1"/>
  <c r="C1141" i="13" s="1"/>
  <c r="C1142" i="13" s="1"/>
  <c r="C1143" i="13" s="1"/>
  <c r="C1144" i="13" s="1"/>
  <c r="C1145" i="13" s="1"/>
  <c r="C1146" i="13" s="1"/>
  <c r="C1147" i="13" s="1"/>
  <c r="C1148" i="13" s="1"/>
  <c r="C1149" i="13" s="1"/>
  <c r="C1150" i="13" s="1"/>
  <c r="C1151" i="13" s="1"/>
  <c r="C1152" i="13" s="1"/>
  <c r="C1153" i="13" s="1"/>
  <c r="C1154" i="13" s="1"/>
  <c r="C1155" i="13" s="1"/>
  <c r="C1156" i="13" s="1"/>
  <c r="C1157" i="13" s="1"/>
  <c r="C1158" i="13" s="1"/>
  <c r="C1159" i="13" s="1"/>
  <c r="C1160" i="13" s="1"/>
  <c r="C1161" i="13" s="1"/>
  <c r="C1162" i="13" s="1"/>
  <c r="C1163" i="13" s="1"/>
  <c r="C1164" i="13" s="1"/>
  <c r="C1165" i="13" s="1"/>
  <c r="C1166" i="13" s="1"/>
  <c r="C1167" i="13" s="1"/>
  <c r="L1133" i="13"/>
  <c r="J1132" i="13"/>
  <c r="J1131" i="13"/>
  <c r="L1125" i="13" s="1"/>
  <c r="O1113" i="13"/>
  <c r="M1113" i="13"/>
  <c r="O1112" i="13"/>
  <c r="M1112" i="13"/>
  <c r="O1111" i="13"/>
  <c r="M1111" i="13"/>
  <c r="O1110" i="13"/>
  <c r="M1110" i="13"/>
  <c r="O1109" i="13"/>
  <c r="M1109" i="13"/>
  <c r="O1108" i="13"/>
  <c r="M1108" i="13"/>
  <c r="O1107" i="13"/>
  <c r="M1107" i="13"/>
  <c r="O1106" i="13"/>
  <c r="M1106" i="13"/>
  <c r="O1105" i="13"/>
  <c r="M1105" i="13"/>
  <c r="O1104" i="13"/>
  <c r="M1104" i="13"/>
  <c r="O1103" i="13"/>
  <c r="M1103" i="13"/>
  <c r="O1102" i="13"/>
  <c r="M1102" i="13"/>
  <c r="O1101" i="13"/>
  <c r="M1101" i="13"/>
  <c r="O1100" i="13"/>
  <c r="M1100" i="13"/>
  <c r="O1099" i="13"/>
  <c r="M1099" i="13"/>
  <c r="O1098" i="13"/>
  <c r="M1098" i="13"/>
  <c r="O1097" i="13"/>
  <c r="M1097" i="13"/>
  <c r="O1096" i="13"/>
  <c r="M1096" i="13"/>
  <c r="O1095" i="13"/>
  <c r="M1095" i="13"/>
  <c r="O1094" i="13"/>
  <c r="M1094" i="13"/>
  <c r="O1093" i="13"/>
  <c r="M1093" i="13"/>
  <c r="O1092" i="13"/>
  <c r="M1092" i="13"/>
  <c r="O1091" i="13"/>
  <c r="M1091" i="13"/>
  <c r="O1090" i="13"/>
  <c r="M1090" i="13"/>
  <c r="O1089" i="13"/>
  <c r="M1089" i="13"/>
  <c r="O1088" i="13"/>
  <c r="M1088" i="13"/>
  <c r="O1087" i="13"/>
  <c r="M1087" i="13"/>
  <c r="O1086" i="13"/>
  <c r="M1086" i="13"/>
  <c r="O1085" i="13"/>
  <c r="M1085" i="13"/>
  <c r="O1084" i="13"/>
  <c r="M1084" i="13"/>
  <c r="O1083" i="13"/>
  <c r="M1083" i="13"/>
  <c r="O1082" i="13"/>
  <c r="M1082" i="13"/>
  <c r="O1081" i="13"/>
  <c r="M1081" i="13"/>
  <c r="O1080" i="13"/>
  <c r="M1080" i="13"/>
  <c r="O1079" i="13"/>
  <c r="M1079" i="13"/>
  <c r="O1078" i="13"/>
  <c r="M1078" i="13"/>
  <c r="O1077" i="13"/>
  <c r="M1077" i="13"/>
  <c r="O1076" i="13"/>
  <c r="M1076" i="13"/>
  <c r="O1075" i="13"/>
  <c r="M1075" i="13"/>
  <c r="O1074" i="13"/>
  <c r="M1074" i="13"/>
  <c r="O1073" i="13"/>
  <c r="M1073" i="13"/>
  <c r="O1072" i="13"/>
  <c r="M1072" i="13"/>
  <c r="O1071" i="13"/>
  <c r="M1071" i="13"/>
  <c r="O1070" i="13"/>
  <c r="M1070" i="13"/>
  <c r="O1069" i="13"/>
  <c r="M1069" i="13"/>
  <c r="O1068" i="13"/>
  <c r="M1068" i="13"/>
  <c r="O1067" i="13"/>
  <c r="M1067" i="13"/>
  <c r="O1066" i="13"/>
  <c r="M1066" i="13"/>
  <c r="O1065" i="13"/>
  <c r="M1065" i="13"/>
  <c r="O1064" i="13"/>
  <c r="M1064" i="13"/>
  <c r="O1063" i="13"/>
  <c r="M1063" i="13"/>
  <c r="O1062" i="13"/>
  <c r="M1062" i="13"/>
  <c r="O1061" i="13"/>
  <c r="M1061" i="13"/>
  <c r="O1060" i="13"/>
  <c r="M1060" i="13"/>
  <c r="O1059" i="13"/>
  <c r="M1059" i="13"/>
  <c r="O1058" i="13"/>
  <c r="M1058" i="13"/>
  <c r="O1057" i="13"/>
  <c r="M1057" i="13"/>
  <c r="D1054" i="13"/>
  <c r="C1054" i="13"/>
  <c r="C1055" i="13" s="1"/>
  <c r="C1056" i="13" s="1"/>
  <c r="C1057" i="13" s="1"/>
  <c r="C1058" i="13" s="1"/>
  <c r="C1059" i="13" s="1"/>
  <c r="C1060" i="13" s="1"/>
  <c r="C1061" i="13" s="1"/>
  <c r="C1062" i="13" s="1"/>
  <c r="C1063" i="13" s="1"/>
  <c r="C1064" i="13" s="1"/>
  <c r="C1065" i="13" s="1"/>
  <c r="C1066" i="13" s="1"/>
  <c r="C1067" i="13" s="1"/>
  <c r="C1068" i="13" s="1"/>
  <c r="C1069" i="13" s="1"/>
  <c r="C1070" i="13" s="1"/>
  <c r="C1071" i="13" s="1"/>
  <c r="C1072" i="13" s="1"/>
  <c r="C1073" i="13" s="1"/>
  <c r="C1074" i="13" s="1"/>
  <c r="C1075" i="13" s="1"/>
  <c r="C1076" i="13" s="1"/>
  <c r="C1077" i="13" s="1"/>
  <c r="C1078" i="13" s="1"/>
  <c r="C1079" i="13" s="1"/>
  <c r="C1080" i="13" s="1"/>
  <c r="C1081" i="13" s="1"/>
  <c r="C1082" i="13" s="1"/>
  <c r="C1083" i="13" s="1"/>
  <c r="C1084" i="13" s="1"/>
  <c r="C1085" i="13" s="1"/>
  <c r="C1086" i="13" s="1"/>
  <c r="C1087" i="13" s="1"/>
  <c r="C1088" i="13" s="1"/>
  <c r="C1089" i="13" s="1"/>
  <c r="C1090" i="13" s="1"/>
  <c r="C1091" i="13" s="1"/>
  <c r="C1092" i="13" s="1"/>
  <c r="C1093" i="13" s="1"/>
  <c r="C1094" i="13" s="1"/>
  <c r="C1095" i="13" s="1"/>
  <c r="C1096" i="13" s="1"/>
  <c r="C1097" i="13" s="1"/>
  <c r="C1098" i="13" s="1"/>
  <c r="C1099" i="13" s="1"/>
  <c r="C1100" i="13" s="1"/>
  <c r="C1101" i="13" s="1"/>
  <c r="C1102" i="13" s="1"/>
  <c r="C1103" i="13" s="1"/>
  <c r="C1104" i="13" s="1"/>
  <c r="C1105" i="13" s="1"/>
  <c r="C1106" i="13" s="1"/>
  <c r="C1107" i="13" s="1"/>
  <c r="C1108" i="13" s="1"/>
  <c r="C1109" i="13" s="1"/>
  <c r="C1110" i="13" s="1"/>
  <c r="C1111" i="13" s="1"/>
  <c r="C1112" i="13" s="1"/>
  <c r="C1113" i="13" s="1"/>
  <c r="L1049" i="13"/>
  <c r="J1048" i="13"/>
  <c r="J1047" i="13"/>
  <c r="L1041" i="13" s="1"/>
  <c r="P1193" i="13" l="1"/>
  <c r="P1171" i="13"/>
  <c r="P1183" i="13"/>
  <c r="P1074" i="13"/>
  <c r="P1106" i="13"/>
  <c r="P1155" i="13"/>
  <c r="P1175" i="13"/>
  <c r="P1179" i="13"/>
  <c r="P1078" i="13"/>
  <c r="P1163" i="13"/>
  <c r="P1085" i="13"/>
  <c r="P1089" i="13"/>
  <c r="P1093" i="13"/>
  <c r="P1101" i="13"/>
  <c r="P1109" i="13"/>
  <c r="P1113" i="13"/>
  <c r="P1154" i="13"/>
  <c r="P1158" i="13"/>
  <c r="P1162" i="13"/>
  <c r="P1170" i="13"/>
  <c r="P1178" i="13"/>
  <c r="P1190" i="13"/>
  <c r="P1194" i="13"/>
  <c r="P1152" i="13"/>
  <c r="P1160" i="13"/>
  <c r="P1168" i="13"/>
  <c r="P1165" i="13"/>
  <c r="P1150" i="13"/>
  <c r="P1159" i="13"/>
  <c r="P1187" i="13"/>
  <c r="P1195" i="13"/>
  <c r="P1143" i="13"/>
  <c r="P1151" i="13"/>
  <c r="P1140" i="13"/>
  <c r="P1161" i="13"/>
  <c r="P1172" i="13"/>
  <c r="P1156" i="13"/>
  <c r="P1167" i="13"/>
  <c r="P1144" i="13"/>
  <c r="P1191" i="13"/>
  <c r="P1148" i="13"/>
  <c r="P1166" i="13"/>
  <c r="P1177" i="13"/>
  <c r="P1180" i="13"/>
  <c r="P1184" i="13"/>
  <c r="P1145" i="13"/>
  <c r="P1149" i="13"/>
  <c r="P1153" i="13"/>
  <c r="P1174" i="13"/>
  <c r="P1181" i="13"/>
  <c r="P1185" i="13"/>
  <c r="P1188" i="13"/>
  <c r="P1192" i="13"/>
  <c r="P1146" i="13"/>
  <c r="P1164" i="13"/>
  <c r="P1182" i="13"/>
  <c r="P1189" i="13"/>
  <c r="P1196" i="13"/>
  <c r="P1186" i="13"/>
  <c r="P1147" i="13"/>
  <c r="P1169" i="13"/>
  <c r="P1176" i="13"/>
  <c r="C1168" i="13"/>
  <c r="C1169" i="13" s="1"/>
  <c r="C1170" i="13" s="1"/>
  <c r="C1171" i="13" s="1"/>
  <c r="C1172" i="13" s="1"/>
  <c r="C1173" i="13" s="1"/>
  <c r="C1174" i="13" s="1"/>
  <c r="C1175" i="13" s="1"/>
  <c r="C1176" i="13" s="1"/>
  <c r="C1177" i="13" s="1"/>
  <c r="C1178" i="13" s="1"/>
  <c r="C1179" i="13" s="1"/>
  <c r="C1180" i="13" s="1"/>
  <c r="C1181" i="13" s="1"/>
  <c r="C1182" i="13" s="1"/>
  <c r="C1183" i="13" s="1"/>
  <c r="C1184" i="13" s="1"/>
  <c r="C1185" i="13" s="1"/>
  <c r="C1186" i="13" s="1"/>
  <c r="C1187" i="13" s="1"/>
  <c r="C1188" i="13" s="1"/>
  <c r="C1189" i="13" s="1"/>
  <c r="C1190" i="13" s="1"/>
  <c r="C1191" i="13" s="1"/>
  <c r="C1192" i="13" s="1"/>
  <c r="C1193" i="13" s="1"/>
  <c r="C1194" i="13" s="1"/>
  <c r="C1195" i="13" s="1"/>
  <c r="C1196" i="13" s="1"/>
  <c r="C1197" i="13" s="1"/>
  <c r="N1126" i="13"/>
  <c r="P1173" i="13"/>
  <c r="P1157" i="13"/>
  <c r="M1126" i="13"/>
  <c r="P1197" i="13"/>
  <c r="P1100" i="13"/>
  <c r="P1108" i="13"/>
  <c r="P1112" i="13"/>
  <c r="P1079" i="13"/>
  <c r="P1092" i="13"/>
  <c r="P1096" i="13"/>
  <c r="P1069" i="13"/>
  <c r="P1077" i="13"/>
  <c r="P1082" i="13"/>
  <c r="P1071" i="13"/>
  <c r="P1111" i="13"/>
  <c r="P1063" i="13"/>
  <c r="P1083" i="13"/>
  <c r="P1095" i="13"/>
  <c r="P1064" i="13"/>
  <c r="P1068" i="13"/>
  <c r="P1067" i="13"/>
  <c r="P1087" i="13"/>
  <c r="P1088" i="13"/>
  <c r="P1075" i="13"/>
  <c r="P1099" i="13"/>
  <c r="P1103" i="13"/>
  <c r="P1090" i="13"/>
  <c r="P1080" i="13"/>
  <c r="P1084" i="13"/>
  <c r="P1059" i="13"/>
  <c r="P1070" i="13"/>
  <c r="P1081" i="13"/>
  <c r="P1098" i="13"/>
  <c r="P1072" i="13"/>
  <c r="P1110" i="13"/>
  <c r="P1097" i="13"/>
  <c r="P1104" i="13"/>
  <c r="P1105" i="13"/>
  <c r="P1065" i="13"/>
  <c r="P1060" i="13"/>
  <c r="P1076" i="13"/>
  <c r="P1058" i="13"/>
  <c r="P1066" i="13"/>
  <c r="P1061" i="13"/>
  <c r="P1094" i="13"/>
  <c r="P1107" i="13"/>
  <c r="M1042" i="13"/>
  <c r="P1057" i="13"/>
  <c r="P1062" i="13"/>
  <c r="P1073" i="13"/>
  <c r="P1102" i="13"/>
  <c r="P1091" i="13"/>
  <c r="N1042" i="13"/>
  <c r="P1086" i="13"/>
  <c r="O1126" i="13" l="1"/>
  <c r="O1042" i="13"/>
  <c r="O1056" i="13" l="1"/>
  <c r="M1056" i="13"/>
  <c r="P1056" i="13" l="1"/>
  <c r="D68" i="36" l="1"/>
  <c r="C68" i="36"/>
  <c r="G68" i="36" l="1"/>
  <c r="A29" i="36" l="1"/>
  <c r="A30" i="36" s="1"/>
  <c r="A31" i="36" s="1"/>
  <c r="A32" i="36" s="1"/>
  <c r="A33" i="36" s="1"/>
  <c r="A34" i="36" s="1"/>
  <c r="A35" i="36" s="1"/>
  <c r="A36" i="36" s="1"/>
  <c r="A37" i="36" s="1"/>
  <c r="A38" i="36" s="1"/>
  <c r="A39" i="36" s="1"/>
  <c r="A40" i="36" s="1"/>
  <c r="A41" i="36" s="1"/>
  <c r="A42" i="36" s="1"/>
  <c r="A43" i="36" s="1"/>
  <c r="A44" i="36" s="1"/>
  <c r="A45" i="36" s="1"/>
  <c r="A46" i="36" s="1"/>
  <c r="M20" i="13"/>
  <c r="I45" i="6" l="1"/>
  <c r="K45" i="6" s="1"/>
  <c r="E86" i="31" l="1"/>
  <c r="O1029" i="13" l="1"/>
  <c r="M1029" i="13"/>
  <c r="O1028" i="13"/>
  <c r="M1028" i="13"/>
  <c r="O1027" i="13"/>
  <c r="M1027" i="13"/>
  <c r="O1026" i="13"/>
  <c r="M1026" i="13"/>
  <c r="O1025" i="13"/>
  <c r="M1025" i="13"/>
  <c r="O1024" i="13"/>
  <c r="M1024" i="13"/>
  <c r="O1023" i="13"/>
  <c r="M1023" i="13"/>
  <c r="O1022" i="13"/>
  <c r="M1022" i="13"/>
  <c r="O1021" i="13"/>
  <c r="M1021" i="13"/>
  <c r="O1020" i="13"/>
  <c r="M1020" i="13"/>
  <c r="O1019" i="13"/>
  <c r="M1019" i="13"/>
  <c r="O1018" i="13"/>
  <c r="M1018" i="13"/>
  <c r="O1017" i="13"/>
  <c r="M1017" i="13"/>
  <c r="O1016" i="13"/>
  <c r="M1016" i="13"/>
  <c r="O1015" i="13"/>
  <c r="M1015" i="13"/>
  <c r="O1014" i="13"/>
  <c r="M1014" i="13"/>
  <c r="O1013" i="13"/>
  <c r="M1013" i="13"/>
  <c r="O1012" i="13"/>
  <c r="M1012" i="13"/>
  <c r="O1011" i="13"/>
  <c r="M1011" i="13"/>
  <c r="O1010" i="13"/>
  <c r="M1010" i="13"/>
  <c r="O1009" i="13"/>
  <c r="M1009" i="13"/>
  <c r="O1008" i="13"/>
  <c r="M1008" i="13"/>
  <c r="O1007" i="13"/>
  <c r="M1007" i="13"/>
  <c r="O1006" i="13"/>
  <c r="M1006" i="13"/>
  <c r="O1005" i="13"/>
  <c r="M1005" i="13"/>
  <c r="O1004" i="13"/>
  <c r="M1004" i="13"/>
  <c r="O1003" i="13"/>
  <c r="M1003" i="13"/>
  <c r="O1002" i="13"/>
  <c r="M1002" i="13"/>
  <c r="O1001" i="13"/>
  <c r="M1001" i="13"/>
  <c r="O1000" i="13"/>
  <c r="M1000" i="13"/>
  <c r="O999" i="13"/>
  <c r="M999" i="13"/>
  <c r="O998" i="13"/>
  <c r="M998" i="13"/>
  <c r="O997" i="13"/>
  <c r="M997" i="13"/>
  <c r="O996" i="13"/>
  <c r="M996" i="13"/>
  <c r="O995" i="13"/>
  <c r="M995" i="13"/>
  <c r="O994" i="13"/>
  <c r="M994" i="13"/>
  <c r="O993" i="13"/>
  <c r="M993" i="13"/>
  <c r="O992" i="13"/>
  <c r="M992" i="13"/>
  <c r="O991" i="13"/>
  <c r="M991" i="13"/>
  <c r="O990" i="13"/>
  <c r="M990" i="13"/>
  <c r="O989" i="13"/>
  <c r="M989" i="13"/>
  <c r="O988" i="13"/>
  <c r="M988" i="13"/>
  <c r="O987" i="13"/>
  <c r="M987" i="13"/>
  <c r="O986" i="13"/>
  <c r="M986" i="13"/>
  <c r="O985" i="13"/>
  <c r="M985" i="13"/>
  <c r="O984" i="13"/>
  <c r="M984" i="13"/>
  <c r="O983" i="13"/>
  <c r="M983" i="13"/>
  <c r="O982" i="13"/>
  <c r="M982" i="13"/>
  <c r="O981" i="13"/>
  <c r="M981" i="13"/>
  <c r="O980" i="13"/>
  <c r="M980" i="13"/>
  <c r="O979" i="13"/>
  <c r="M979" i="13"/>
  <c r="O978" i="13"/>
  <c r="M978" i="13"/>
  <c r="O977" i="13"/>
  <c r="M977" i="13"/>
  <c r="O976" i="13"/>
  <c r="M976" i="13"/>
  <c r="O970" i="13"/>
  <c r="M970" i="13"/>
  <c r="D970" i="13"/>
  <c r="C970" i="13"/>
  <c r="C971" i="13" s="1"/>
  <c r="C972" i="13" s="1"/>
  <c r="C973" i="13" s="1"/>
  <c r="C974" i="13" s="1"/>
  <c r="C975" i="13" s="1"/>
  <c r="C976" i="13" s="1"/>
  <c r="C977" i="13" s="1"/>
  <c r="C978" i="13" s="1"/>
  <c r="C979" i="13" s="1"/>
  <c r="C980" i="13" s="1"/>
  <c r="C981" i="13" s="1"/>
  <c r="C982" i="13" s="1"/>
  <c r="C983" i="13" s="1"/>
  <c r="C984" i="13" s="1"/>
  <c r="C985" i="13" s="1"/>
  <c r="C986" i="13" s="1"/>
  <c r="C987" i="13" s="1"/>
  <c r="C988" i="13" s="1"/>
  <c r="C989" i="13" s="1"/>
  <c r="C990" i="13" s="1"/>
  <c r="C991" i="13" s="1"/>
  <c r="C992" i="13" s="1"/>
  <c r="C993" i="13" s="1"/>
  <c r="C994" i="13" s="1"/>
  <c r="C995" i="13" s="1"/>
  <c r="C996" i="13" s="1"/>
  <c r="C997" i="13" s="1"/>
  <c r="C998" i="13" s="1"/>
  <c r="C999" i="13" s="1"/>
  <c r="L965" i="13"/>
  <c r="J964" i="13"/>
  <c r="J963" i="13"/>
  <c r="P951" i="13"/>
  <c r="O951" i="13"/>
  <c r="P1015" i="13" l="1"/>
  <c r="P978" i="13"/>
  <c r="P982" i="13"/>
  <c r="P1010" i="13"/>
  <c r="P1014" i="13"/>
  <c r="P1023" i="13"/>
  <c r="P992" i="13"/>
  <c r="P1008" i="13"/>
  <c r="P1016" i="13"/>
  <c r="P1024" i="13"/>
  <c r="P1028" i="13"/>
  <c r="P1007" i="13"/>
  <c r="P996" i="13"/>
  <c r="P1000" i="13"/>
  <c r="P985" i="13"/>
  <c r="P1017" i="13"/>
  <c r="P1021" i="13"/>
  <c r="P999" i="13"/>
  <c r="P1003" i="13"/>
  <c r="P976" i="13"/>
  <c r="P984" i="13"/>
  <c r="P983" i="13"/>
  <c r="P991" i="13"/>
  <c r="P1022" i="13"/>
  <c r="P970" i="13"/>
  <c r="P980" i="13"/>
  <c r="P987" i="13"/>
  <c r="P994" i="13"/>
  <c r="P998" i="13"/>
  <c r="P1001" i="13"/>
  <c r="P1012" i="13"/>
  <c r="P1019" i="13"/>
  <c r="P1026" i="13"/>
  <c r="P977" i="13"/>
  <c r="P988" i="13"/>
  <c r="P995" i="13"/>
  <c r="P1002" i="13"/>
  <c r="P1006" i="13"/>
  <c r="P1009" i="13"/>
  <c r="P1020" i="13"/>
  <c r="P1027" i="13"/>
  <c r="P979" i="13"/>
  <c r="P986" i="13"/>
  <c r="P990" i="13"/>
  <c r="P993" i="13"/>
  <c r="P1004" i="13"/>
  <c r="P1011" i="13"/>
  <c r="P1018" i="13"/>
  <c r="P1025" i="13"/>
  <c r="P1029" i="13"/>
  <c r="C1000" i="13"/>
  <c r="C1001" i="13" s="1"/>
  <c r="C1002" i="13" s="1"/>
  <c r="C1003" i="13" s="1"/>
  <c r="C1004" i="13" s="1"/>
  <c r="C1005" i="13" s="1"/>
  <c r="C1006" i="13" s="1"/>
  <c r="C1007" i="13" s="1"/>
  <c r="C1008" i="13" s="1"/>
  <c r="C1009" i="13" s="1"/>
  <c r="C1010" i="13" s="1"/>
  <c r="C1011" i="13" s="1"/>
  <c r="C1012" i="13" s="1"/>
  <c r="C1013" i="13" s="1"/>
  <c r="C1014" i="13" s="1"/>
  <c r="C1015" i="13" s="1"/>
  <c r="C1016" i="13" s="1"/>
  <c r="C1017" i="13" s="1"/>
  <c r="C1018" i="13" s="1"/>
  <c r="C1019" i="13" s="1"/>
  <c r="C1020" i="13" s="1"/>
  <c r="C1021" i="13" s="1"/>
  <c r="C1022" i="13" s="1"/>
  <c r="C1023" i="13" s="1"/>
  <c r="C1024" i="13" s="1"/>
  <c r="C1025" i="13" s="1"/>
  <c r="C1026" i="13" s="1"/>
  <c r="C1027" i="13" s="1"/>
  <c r="C1028" i="13" s="1"/>
  <c r="C1029" i="13" s="1"/>
  <c r="N958" i="13"/>
  <c r="P997" i="13"/>
  <c r="L957" i="13"/>
  <c r="M958" i="13"/>
  <c r="P981" i="13"/>
  <c r="P1005" i="13"/>
  <c r="P1013" i="13"/>
  <c r="P989" i="13"/>
  <c r="O958" i="13" l="1"/>
  <c r="F20" i="43" l="1"/>
  <c r="D20" i="43"/>
  <c r="L15" i="43"/>
  <c r="O15" i="43" s="1"/>
  <c r="H15" i="43"/>
  <c r="A15" i="43"/>
  <c r="A18" i="43" s="1"/>
  <c r="A20" i="43" s="1"/>
  <c r="J13" i="43"/>
  <c r="L13" i="43" s="1"/>
  <c r="O13" i="43" s="1"/>
  <c r="H13" i="43"/>
  <c r="J18" i="43" l="1"/>
  <c r="L18" i="43" s="1"/>
  <c r="L20" i="43" s="1"/>
  <c r="J20" i="43" l="1"/>
  <c r="O18" i="43"/>
  <c r="O20" i="43" s="1"/>
  <c r="E69" i="9" l="1"/>
  <c r="K17" i="8"/>
  <c r="K41" i="37"/>
  <c r="K51" i="37" s="1"/>
  <c r="I41" i="37"/>
  <c r="I51" i="37" s="1"/>
  <c r="C41" i="37"/>
  <c r="K56" i="36"/>
  <c r="J56" i="36"/>
  <c r="I56" i="36"/>
  <c r="D56" i="36"/>
  <c r="C56" i="36"/>
  <c r="K41" i="36"/>
  <c r="J41" i="36"/>
  <c r="I41" i="36"/>
  <c r="D41" i="36"/>
  <c r="C41" i="36"/>
  <c r="N64" i="36"/>
  <c r="N49" i="36"/>
  <c r="F57" i="36" l="1"/>
  <c r="D57" i="36" s="1"/>
  <c r="F42" i="36"/>
  <c r="D42" i="36" s="1"/>
  <c r="G56" i="36"/>
  <c r="G41" i="36"/>
  <c r="E42" i="37"/>
  <c r="E57" i="36"/>
  <c r="C57" i="36" s="1"/>
  <c r="E42" i="36"/>
  <c r="C42" i="36" s="1"/>
  <c r="C42" i="37" l="1"/>
  <c r="E51" i="37"/>
  <c r="G57" i="36"/>
  <c r="G42" i="36"/>
  <c r="D48" i="38"/>
  <c r="C48" i="38"/>
  <c r="A19" i="9" l="1"/>
  <c r="A20" i="9" s="1"/>
  <c r="A21" i="9" s="1"/>
  <c r="A24" i="9" s="1"/>
  <c r="A25" i="9" s="1"/>
  <c r="A26" i="9" s="1"/>
  <c r="A27" i="9" s="1"/>
  <c r="A28" i="9" s="1"/>
  <c r="A29" i="9" s="1"/>
  <c r="A30" i="9" s="1"/>
  <c r="A31" i="9" s="1"/>
  <c r="A32" i="9" s="1"/>
  <c r="A33" i="9" s="1"/>
  <c r="A36" i="9" s="1"/>
  <c r="A37" i="9" s="1"/>
  <c r="A38" i="9" s="1"/>
  <c r="A39" i="9" s="1"/>
  <c r="A40" i="9" s="1"/>
  <c r="A41" i="9" s="1"/>
  <c r="A44" i="9" s="1"/>
  <c r="A47" i="9" s="1"/>
  <c r="A48" i="9" s="1"/>
  <c r="A49" i="9" s="1"/>
  <c r="A50" i="9" s="1"/>
  <c r="A51" i="9" s="1"/>
  <c r="A52" i="9" s="1"/>
  <c r="A53" i="9" s="1"/>
  <c r="A54" i="9" s="1"/>
  <c r="A55" i="9" s="1"/>
  <c r="A56" i="9" s="1"/>
  <c r="A57" i="9" s="1"/>
  <c r="A58" i="9" s="1"/>
  <c r="A59" i="9" s="1"/>
  <c r="A60" i="9" s="1"/>
  <c r="A61" i="9" s="1"/>
  <c r="A62" i="9" s="1"/>
  <c r="A64" i="9" s="1"/>
  <c r="A67" i="9" s="1"/>
  <c r="D21" i="9"/>
  <c r="D33" i="9"/>
  <c r="E36" i="9"/>
  <c r="E37" i="9"/>
  <c r="E38" i="9"/>
  <c r="F39" i="9"/>
  <c r="F44" i="9" s="1"/>
  <c r="D44" i="9"/>
  <c r="G144" i="2" s="1"/>
  <c r="E47" i="9"/>
  <c r="E48" i="9"/>
  <c r="E49" i="9"/>
  <c r="E50" i="9"/>
  <c r="D64" i="9"/>
  <c r="G145" i="2" s="1"/>
  <c r="F64" i="9"/>
  <c r="L43" i="2"/>
  <c r="L42" i="2"/>
  <c r="A68" i="9" l="1"/>
  <c r="A69" i="9" s="1"/>
  <c r="A70" i="9" s="1"/>
  <c r="A71" i="9" s="1"/>
  <c r="A73" i="9" s="1"/>
  <c r="E64" i="9"/>
  <c r="E44" i="9"/>
  <c r="E71" i="9" l="1"/>
  <c r="F70" i="9"/>
  <c r="C59" i="36" l="1"/>
  <c r="C58" i="36"/>
  <c r="G42" i="5" l="1"/>
  <c r="E42" i="5"/>
  <c r="G34" i="5"/>
  <c r="E34" i="5"/>
  <c r="G26" i="5"/>
  <c r="E26" i="5"/>
  <c r="G18" i="5"/>
  <c r="E18" i="5" l="1"/>
  <c r="I18" i="5" s="1"/>
  <c r="J876" i="13"/>
  <c r="J789" i="13"/>
  <c r="L783" i="13" s="1"/>
  <c r="J702" i="13"/>
  <c r="L696" i="13" s="1"/>
  <c r="J615" i="13"/>
  <c r="L609" i="13" s="1"/>
  <c r="J528" i="13"/>
  <c r="L522" i="13" s="1"/>
  <c r="J441" i="13"/>
  <c r="L435" i="13" s="1"/>
  <c r="J354" i="13"/>
  <c r="J267" i="13"/>
  <c r="J180" i="13"/>
  <c r="L174" i="13" s="1"/>
  <c r="O32" i="42"/>
  <c r="N32" i="42"/>
  <c r="L32" i="42"/>
  <c r="K32" i="42"/>
  <c r="B32" i="42"/>
  <c r="P29" i="42"/>
  <c r="M32" i="42"/>
  <c r="P28" i="42"/>
  <c r="P19" i="42"/>
  <c r="Q18" i="42"/>
  <c r="P17" i="42"/>
  <c r="P16" i="42"/>
  <c r="Q15" i="42"/>
  <c r="Q14" i="42"/>
  <c r="P13" i="42"/>
  <c r="D59" i="36"/>
  <c r="D58" i="36"/>
  <c r="C44" i="37"/>
  <c r="D44" i="37"/>
  <c r="C45" i="37"/>
  <c r="D45" i="37"/>
  <c r="C46" i="37"/>
  <c r="D46" i="37"/>
  <c r="C47" i="37"/>
  <c r="D47" i="37"/>
  <c r="C49" i="37"/>
  <c r="D49" i="37"/>
  <c r="D43" i="37"/>
  <c r="C43" i="37"/>
  <c r="D46" i="36"/>
  <c r="C46" i="36"/>
  <c r="D44" i="36"/>
  <c r="C44" i="36"/>
  <c r="D43" i="36"/>
  <c r="C43" i="36"/>
  <c r="O942" i="13"/>
  <c r="M942" i="13"/>
  <c r="O941" i="13"/>
  <c r="M941" i="13"/>
  <c r="O940" i="13"/>
  <c r="M940" i="13"/>
  <c r="O939" i="13"/>
  <c r="M939" i="13"/>
  <c r="O938" i="13"/>
  <c r="M938" i="13"/>
  <c r="O937" i="13"/>
  <c r="M937" i="13"/>
  <c r="O936" i="13"/>
  <c r="M936" i="13"/>
  <c r="O935" i="13"/>
  <c r="M935" i="13"/>
  <c r="O934" i="13"/>
  <c r="M934" i="13"/>
  <c r="O933" i="13"/>
  <c r="M933" i="13"/>
  <c r="O932" i="13"/>
  <c r="M932" i="13"/>
  <c r="O931" i="13"/>
  <c r="M931" i="13"/>
  <c r="O930" i="13"/>
  <c r="M930" i="13"/>
  <c r="O929" i="13"/>
  <c r="M929" i="13"/>
  <c r="O928" i="13"/>
  <c r="M928" i="13"/>
  <c r="O927" i="13"/>
  <c r="M927" i="13"/>
  <c r="O926" i="13"/>
  <c r="M926" i="13"/>
  <c r="O925" i="13"/>
  <c r="M925" i="13"/>
  <c r="O924" i="13"/>
  <c r="M924" i="13"/>
  <c r="O923" i="13"/>
  <c r="M923" i="13"/>
  <c r="O922" i="13"/>
  <c r="M922" i="13"/>
  <c r="O921" i="13"/>
  <c r="M921" i="13"/>
  <c r="O920" i="13"/>
  <c r="M920" i="13"/>
  <c r="O919" i="13"/>
  <c r="M919" i="13"/>
  <c r="O918" i="13"/>
  <c r="M918" i="13"/>
  <c r="O917" i="13"/>
  <c r="M917" i="13"/>
  <c r="O916" i="13"/>
  <c r="M916" i="13"/>
  <c r="O915" i="13"/>
  <c r="M915" i="13"/>
  <c r="O914" i="13"/>
  <c r="M914" i="13"/>
  <c r="O913" i="13"/>
  <c r="M913" i="13"/>
  <c r="O912" i="13"/>
  <c r="M912" i="13"/>
  <c r="O911" i="13"/>
  <c r="M911" i="13"/>
  <c r="O910" i="13"/>
  <c r="M910" i="13"/>
  <c r="O909" i="13"/>
  <c r="M909" i="13"/>
  <c r="O908" i="13"/>
  <c r="M908" i="13"/>
  <c r="O907" i="13"/>
  <c r="M907" i="13"/>
  <c r="O906" i="13"/>
  <c r="M906" i="13"/>
  <c r="O905" i="13"/>
  <c r="M905" i="13"/>
  <c r="O904" i="13"/>
  <c r="M904" i="13"/>
  <c r="O903" i="13"/>
  <c r="M903" i="13"/>
  <c r="O902" i="13"/>
  <c r="M902" i="13"/>
  <c r="O901" i="13"/>
  <c r="M901" i="13"/>
  <c r="O900" i="13"/>
  <c r="M900" i="13"/>
  <c r="O899" i="13"/>
  <c r="M899" i="13"/>
  <c r="O898" i="13"/>
  <c r="M898" i="13"/>
  <c r="O897" i="13"/>
  <c r="M897" i="13"/>
  <c r="O896" i="13"/>
  <c r="M896" i="13"/>
  <c r="O895" i="13"/>
  <c r="M895" i="13"/>
  <c r="O894" i="13"/>
  <c r="M894" i="13"/>
  <c r="O893" i="13"/>
  <c r="M893" i="13"/>
  <c r="O885" i="13"/>
  <c r="M885" i="13"/>
  <c r="D883" i="13"/>
  <c r="C883" i="13"/>
  <c r="C884" i="13" s="1"/>
  <c r="C885" i="13" s="1"/>
  <c r="C886" i="13" s="1"/>
  <c r="C887" i="13" s="1"/>
  <c r="C888" i="13" s="1"/>
  <c r="C889" i="13" s="1"/>
  <c r="C890" i="13" s="1"/>
  <c r="C891" i="13" s="1"/>
  <c r="C892" i="13" s="1"/>
  <c r="C893" i="13" s="1"/>
  <c r="C894" i="13" s="1"/>
  <c r="C895" i="13" s="1"/>
  <c r="C896" i="13" s="1"/>
  <c r="C897" i="13" s="1"/>
  <c r="C898" i="13" s="1"/>
  <c r="C899" i="13" s="1"/>
  <c r="C900" i="13" s="1"/>
  <c r="C901" i="13" s="1"/>
  <c r="C902" i="13" s="1"/>
  <c r="C903" i="13" s="1"/>
  <c r="C904" i="13" s="1"/>
  <c r="C905" i="13" s="1"/>
  <c r="C906" i="13" s="1"/>
  <c r="C907" i="13" s="1"/>
  <c r="C908" i="13" s="1"/>
  <c r="C909" i="13" s="1"/>
  <c r="C910" i="13" s="1"/>
  <c r="C911" i="13" s="1"/>
  <c r="C912" i="13" s="1"/>
  <c r="C913" i="13" s="1"/>
  <c r="C914" i="13" s="1"/>
  <c r="C915" i="13" s="1"/>
  <c r="C916" i="13" s="1"/>
  <c r="C917" i="13" s="1"/>
  <c r="C918" i="13" s="1"/>
  <c r="C919" i="13" s="1"/>
  <c r="C920" i="13" s="1"/>
  <c r="C921" i="13" s="1"/>
  <c r="C922" i="13" s="1"/>
  <c r="C923" i="13" s="1"/>
  <c r="C924" i="13" s="1"/>
  <c r="C925" i="13" s="1"/>
  <c r="C926" i="13" s="1"/>
  <c r="C927" i="13" s="1"/>
  <c r="C928" i="13" s="1"/>
  <c r="C929" i="13" s="1"/>
  <c r="C930" i="13" s="1"/>
  <c r="C931" i="13" s="1"/>
  <c r="C932" i="13" s="1"/>
  <c r="C933" i="13" s="1"/>
  <c r="C934" i="13" s="1"/>
  <c r="C935" i="13" s="1"/>
  <c r="C936" i="13" s="1"/>
  <c r="C937" i="13" s="1"/>
  <c r="C938" i="13" s="1"/>
  <c r="C939" i="13" s="1"/>
  <c r="C940" i="13" s="1"/>
  <c r="C941" i="13" s="1"/>
  <c r="C942" i="13" s="1"/>
  <c r="L878" i="13"/>
  <c r="J877" i="13"/>
  <c r="P864" i="13"/>
  <c r="O864" i="13"/>
  <c r="A864" i="13"/>
  <c r="I43" i="6"/>
  <c r="K43" i="6" s="1"/>
  <c r="I42" i="6"/>
  <c r="K42" i="6" s="1"/>
  <c r="E42" i="6" s="1"/>
  <c r="I41" i="6"/>
  <c r="K41" i="6" s="1"/>
  <c r="E41" i="6" s="1"/>
  <c r="P777" i="13"/>
  <c r="O777" i="13"/>
  <c r="P690" i="13"/>
  <c r="O690" i="13"/>
  <c r="P603" i="13"/>
  <c r="O603" i="13"/>
  <c r="P516" i="13"/>
  <c r="O516" i="13"/>
  <c r="P429" i="13"/>
  <c r="O429" i="13"/>
  <c r="P342" i="13"/>
  <c r="O342" i="13"/>
  <c r="P255" i="13"/>
  <c r="O255" i="13"/>
  <c r="P168" i="13"/>
  <c r="O168" i="13"/>
  <c r="P81" i="13"/>
  <c r="O81" i="13"/>
  <c r="P8" i="13"/>
  <c r="O8" i="13"/>
  <c r="O855" i="13"/>
  <c r="M855" i="13"/>
  <c r="O854" i="13"/>
  <c r="M854" i="13"/>
  <c r="O853" i="13"/>
  <c r="M853" i="13"/>
  <c r="O852" i="13"/>
  <c r="M852" i="13"/>
  <c r="O851" i="13"/>
  <c r="M851" i="13"/>
  <c r="O850" i="13"/>
  <c r="M850" i="13"/>
  <c r="O849" i="13"/>
  <c r="M849" i="13"/>
  <c r="O848" i="13"/>
  <c r="M848" i="13"/>
  <c r="O847" i="13"/>
  <c r="M847" i="13"/>
  <c r="O846" i="13"/>
  <c r="M846" i="13"/>
  <c r="O845" i="13"/>
  <c r="M845" i="13"/>
  <c r="O844" i="13"/>
  <c r="M844" i="13"/>
  <c r="O843" i="13"/>
  <c r="M843" i="13"/>
  <c r="O842" i="13"/>
  <c r="M842" i="13"/>
  <c r="O841" i="13"/>
  <c r="M841" i="13"/>
  <c r="O840" i="13"/>
  <c r="M840" i="13"/>
  <c r="O839" i="13"/>
  <c r="M839" i="13"/>
  <c r="O838" i="13"/>
  <c r="M838" i="13"/>
  <c r="O837" i="13"/>
  <c r="M837" i="13"/>
  <c r="O836" i="13"/>
  <c r="M836" i="13"/>
  <c r="O835" i="13"/>
  <c r="M835" i="13"/>
  <c r="O834" i="13"/>
  <c r="M834" i="13"/>
  <c r="O833" i="13"/>
  <c r="M833" i="13"/>
  <c r="O832" i="13"/>
  <c r="M832" i="13"/>
  <c r="O831" i="13"/>
  <c r="M831" i="13"/>
  <c r="O830" i="13"/>
  <c r="M830" i="13"/>
  <c r="O829" i="13"/>
  <c r="M829" i="13"/>
  <c r="O828" i="13"/>
  <c r="M828" i="13"/>
  <c r="O827" i="13"/>
  <c r="M827" i="13"/>
  <c r="O826" i="13"/>
  <c r="M826" i="13"/>
  <c r="O825" i="13"/>
  <c r="M825" i="13"/>
  <c r="O824" i="13"/>
  <c r="M824" i="13"/>
  <c r="O823" i="13"/>
  <c r="M823" i="13"/>
  <c r="O822" i="13"/>
  <c r="M822" i="13"/>
  <c r="O821" i="13"/>
  <c r="M821" i="13"/>
  <c r="O820" i="13"/>
  <c r="M820" i="13"/>
  <c r="O819" i="13"/>
  <c r="M819" i="13"/>
  <c r="O818" i="13"/>
  <c r="M818" i="13"/>
  <c r="O817" i="13"/>
  <c r="M817" i="13"/>
  <c r="O816" i="13"/>
  <c r="M816" i="13"/>
  <c r="O815" i="13"/>
  <c r="M815" i="13"/>
  <c r="O814" i="13"/>
  <c r="M814" i="13"/>
  <c r="O813" i="13"/>
  <c r="M813" i="13"/>
  <c r="O812" i="13"/>
  <c r="M812" i="13"/>
  <c r="O811" i="13"/>
  <c r="M811" i="13"/>
  <c r="O810" i="13"/>
  <c r="M810" i="13"/>
  <c r="O809" i="13"/>
  <c r="M809" i="13"/>
  <c r="O808" i="13"/>
  <c r="M808" i="13"/>
  <c r="O807" i="13"/>
  <c r="M807" i="13"/>
  <c r="O806" i="13"/>
  <c r="M806" i="13"/>
  <c r="O805" i="13"/>
  <c r="M805" i="13"/>
  <c r="D796" i="13"/>
  <c r="C796" i="13"/>
  <c r="C797" i="13" s="1"/>
  <c r="C798" i="13" s="1"/>
  <c r="C799" i="13" s="1"/>
  <c r="C800" i="13" s="1"/>
  <c r="C801" i="13" s="1"/>
  <c r="C802" i="13" s="1"/>
  <c r="C803" i="13" s="1"/>
  <c r="C804" i="13" s="1"/>
  <c r="C805" i="13" s="1"/>
  <c r="C806" i="13" s="1"/>
  <c r="C807" i="13" s="1"/>
  <c r="C808" i="13" s="1"/>
  <c r="C809" i="13" s="1"/>
  <c r="C810" i="13" s="1"/>
  <c r="C811" i="13" s="1"/>
  <c r="C812" i="13" s="1"/>
  <c r="C813" i="13" s="1"/>
  <c r="C814" i="13" s="1"/>
  <c r="C815" i="13" s="1"/>
  <c r="C816" i="13" s="1"/>
  <c r="C817" i="13" s="1"/>
  <c r="C818" i="13" s="1"/>
  <c r="C819" i="13" s="1"/>
  <c r="C820" i="13" s="1"/>
  <c r="C821" i="13" s="1"/>
  <c r="C822" i="13" s="1"/>
  <c r="C823" i="13" s="1"/>
  <c r="C824" i="13" s="1"/>
  <c r="C825" i="13" s="1"/>
  <c r="L791" i="13"/>
  <c r="J790" i="13"/>
  <c r="A777" i="13"/>
  <c r="O768" i="13"/>
  <c r="M768" i="13"/>
  <c r="O767" i="13"/>
  <c r="M767" i="13"/>
  <c r="O766" i="13"/>
  <c r="M766" i="13"/>
  <c r="O765" i="13"/>
  <c r="M765" i="13"/>
  <c r="O764" i="13"/>
  <c r="M764" i="13"/>
  <c r="O763" i="13"/>
  <c r="M763" i="13"/>
  <c r="O762" i="13"/>
  <c r="M762" i="13"/>
  <c r="O761" i="13"/>
  <c r="M761" i="13"/>
  <c r="O760" i="13"/>
  <c r="M760" i="13"/>
  <c r="O759" i="13"/>
  <c r="M759" i="13"/>
  <c r="O758" i="13"/>
  <c r="M758" i="13"/>
  <c r="O757" i="13"/>
  <c r="M757" i="13"/>
  <c r="O756" i="13"/>
  <c r="M756" i="13"/>
  <c r="O755" i="13"/>
  <c r="M755" i="13"/>
  <c r="O754" i="13"/>
  <c r="M754" i="13"/>
  <c r="O753" i="13"/>
  <c r="M753" i="13"/>
  <c r="O752" i="13"/>
  <c r="M752" i="13"/>
  <c r="O751" i="13"/>
  <c r="M751" i="13"/>
  <c r="O750" i="13"/>
  <c r="M750" i="13"/>
  <c r="O749" i="13"/>
  <c r="M749" i="13"/>
  <c r="O748" i="13"/>
  <c r="M748" i="13"/>
  <c r="O747" i="13"/>
  <c r="M747" i="13"/>
  <c r="O746" i="13"/>
  <c r="M746" i="13"/>
  <c r="O745" i="13"/>
  <c r="M745" i="13"/>
  <c r="O744" i="13"/>
  <c r="M744" i="13"/>
  <c r="O743" i="13"/>
  <c r="M743" i="13"/>
  <c r="O742" i="13"/>
  <c r="M742" i="13"/>
  <c r="O741" i="13"/>
  <c r="M741" i="13"/>
  <c r="O740" i="13"/>
  <c r="M740" i="13"/>
  <c r="O739" i="13"/>
  <c r="M739" i="13"/>
  <c r="O738" i="13"/>
  <c r="M738" i="13"/>
  <c r="O737" i="13"/>
  <c r="M737" i="13"/>
  <c r="O736" i="13"/>
  <c r="M736" i="13"/>
  <c r="O735" i="13"/>
  <c r="M735" i="13"/>
  <c r="O734" i="13"/>
  <c r="M734" i="13"/>
  <c r="O733" i="13"/>
  <c r="M733" i="13"/>
  <c r="O732" i="13"/>
  <c r="M732" i="13"/>
  <c r="O731" i="13"/>
  <c r="M731" i="13"/>
  <c r="O730" i="13"/>
  <c r="M730" i="13"/>
  <c r="O729" i="13"/>
  <c r="M729" i="13"/>
  <c r="O728" i="13"/>
  <c r="M728" i="13"/>
  <c r="O727" i="13"/>
  <c r="M727" i="13"/>
  <c r="O726" i="13"/>
  <c r="M726" i="13"/>
  <c r="O725" i="13"/>
  <c r="M725" i="13"/>
  <c r="O724" i="13"/>
  <c r="M724" i="13"/>
  <c r="O723" i="13"/>
  <c r="M723" i="13"/>
  <c r="O722" i="13"/>
  <c r="M722" i="13"/>
  <c r="O721" i="13"/>
  <c r="M721" i="13"/>
  <c r="O720" i="13"/>
  <c r="M720" i="13"/>
  <c r="O719" i="13"/>
  <c r="M719" i="13"/>
  <c r="D709" i="13"/>
  <c r="C709" i="13"/>
  <c r="C710" i="13" s="1"/>
  <c r="C711" i="13" s="1"/>
  <c r="C712" i="13" s="1"/>
  <c r="C713" i="13" s="1"/>
  <c r="C714" i="13" s="1"/>
  <c r="C715" i="13" s="1"/>
  <c r="C716" i="13" s="1"/>
  <c r="C717" i="13" s="1"/>
  <c r="C718" i="13" s="1"/>
  <c r="C719" i="13" s="1"/>
  <c r="C720" i="13" s="1"/>
  <c r="C721" i="13" s="1"/>
  <c r="C722" i="13" s="1"/>
  <c r="C723" i="13" s="1"/>
  <c r="C724" i="13" s="1"/>
  <c r="C725" i="13" s="1"/>
  <c r="C726" i="13" s="1"/>
  <c r="C727" i="13" s="1"/>
  <c r="C728" i="13" s="1"/>
  <c r="C729" i="13" s="1"/>
  <c r="C730" i="13" s="1"/>
  <c r="C731" i="13" s="1"/>
  <c r="C732" i="13" s="1"/>
  <c r="C733" i="13" s="1"/>
  <c r="C734" i="13" s="1"/>
  <c r="C735" i="13" s="1"/>
  <c r="C736" i="13" s="1"/>
  <c r="C737" i="13" s="1"/>
  <c r="C738" i="13" s="1"/>
  <c r="L704" i="13"/>
  <c r="J703" i="13"/>
  <c r="A690" i="13"/>
  <c r="O681" i="13"/>
  <c r="M681" i="13"/>
  <c r="O680" i="13"/>
  <c r="M680" i="13"/>
  <c r="O679" i="13"/>
  <c r="M679" i="13"/>
  <c r="O678" i="13"/>
  <c r="M678" i="13"/>
  <c r="O677" i="13"/>
  <c r="M677" i="13"/>
  <c r="O676" i="13"/>
  <c r="M676" i="13"/>
  <c r="O675" i="13"/>
  <c r="M675" i="13"/>
  <c r="O674" i="13"/>
  <c r="M674" i="13"/>
  <c r="O673" i="13"/>
  <c r="M673" i="13"/>
  <c r="O672" i="13"/>
  <c r="M672" i="13"/>
  <c r="O671" i="13"/>
  <c r="M671" i="13"/>
  <c r="O670" i="13"/>
  <c r="M670" i="13"/>
  <c r="O669" i="13"/>
  <c r="M669" i="13"/>
  <c r="O668" i="13"/>
  <c r="M668" i="13"/>
  <c r="O667" i="13"/>
  <c r="M667" i="13"/>
  <c r="O666" i="13"/>
  <c r="M666" i="13"/>
  <c r="O665" i="13"/>
  <c r="M665" i="13"/>
  <c r="O664" i="13"/>
  <c r="M664" i="13"/>
  <c r="O663" i="13"/>
  <c r="M663" i="13"/>
  <c r="O662" i="13"/>
  <c r="M662" i="13"/>
  <c r="O661" i="13"/>
  <c r="M661" i="13"/>
  <c r="O660" i="13"/>
  <c r="M660" i="13"/>
  <c r="O659" i="13"/>
  <c r="M659" i="13"/>
  <c r="O658" i="13"/>
  <c r="M658" i="13"/>
  <c r="O657" i="13"/>
  <c r="M657" i="13"/>
  <c r="O656" i="13"/>
  <c r="M656" i="13"/>
  <c r="O655" i="13"/>
  <c r="M655" i="13"/>
  <c r="O654" i="13"/>
  <c r="M654" i="13"/>
  <c r="O653" i="13"/>
  <c r="M653" i="13"/>
  <c r="O652" i="13"/>
  <c r="M652" i="13"/>
  <c r="O651" i="13"/>
  <c r="M651" i="13"/>
  <c r="O650" i="13"/>
  <c r="M650" i="13"/>
  <c r="O649" i="13"/>
  <c r="M649" i="13"/>
  <c r="O648" i="13"/>
  <c r="M648" i="13"/>
  <c r="O647" i="13"/>
  <c r="M647" i="13"/>
  <c r="O646" i="13"/>
  <c r="M646" i="13"/>
  <c r="O645" i="13"/>
  <c r="M645" i="13"/>
  <c r="O644" i="13"/>
  <c r="M644" i="13"/>
  <c r="O643" i="13"/>
  <c r="M643" i="13"/>
  <c r="O642" i="13"/>
  <c r="M642" i="13"/>
  <c r="O641" i="13"/>
  <c r="M641" i="13"/>
  <c r="O640" i="13"/>
  <c r="M640" i="13"/>
  <c r="O639" i="13"/>
  <c r="M639" i="13"/>
  <c r="O638" i="13"/>
  <c r="M638" i="13"/>
  <c r="O637" i="13"/>
  <c r="M637" i="13"/>
  <c r="O636" i="13"/>
  <c r="M636" i="13"/>
  <c r="O635" i="13"/>
  <c r="M635" i="13"/>
  <c r="O634" i="13"/>
  <c r="M634" i="13"/>
  <c r="O633" i="13"/>
  <c r="M633" i="13"/>
  <c r="O632" i="13"/>
  <c r="M632" i="13"/>
  <c r="D622" i="13"/>
  <c r="C622" i="13"/>
  <c r="C623" i="13" s="1"/>
  <c r="C624" i="13" s="1"/>
  <c r="C625" i="13" s="1"/>
  <c r="C626" i="13" s="1"/>
  <c r="C627" i="13" s="1"/>
  <c r="C628" i="13" s="1"/>
  <c r="C629" i="13" s="1"/>
  <c r="C630" i="13" s="1"/>
  <c r="C631" i="13" s="1"/>
  <c r="C632" i="13" s="1"/>
  <c r="C633" i="13" s="1"/>
  <c r="C634" i="13" s="1"/>
  <c r="C635" i="13" s="1"/>
  <c r="C636" i="13" s="1"/>
  <c r="C637" i="13" s="1"/>
  <c r="C638" i="13" s="1"/>
  <c r="C639" i="13" s="1"/>
  <c r="C640" i="13" s="1"/>
  <c r="C641" i="13" s="1"/>
  <c r="C642" i="13" s="1"/>
  <c r="C643" i="13" s="1"/>
  <c r="C644" i="13" s="1"/>
  <c r="C645" i="13" s="1"/>
  <c r="C646" i="13" s="1"/>
  <c r="C647" i="13" s="1"/>
  <c r="C648" i="13" s="1"/>
  <c r="C649" i="13" s="1"/>
  <c r="C650" i="13" s="1"/>
  <c r="C651" i="13" s="1"/>
  <c r="C652" i="13" s="1"/>
  <c r="C653" i="13" s="1"/>
  <c r="C654" i="13" s="1"/>
  <c r="C655" i="13" s="1"/>
  <c r="C656" i="13" s="1"/>
  <c r="C657" i="13" s="1"/>
  <c r="C658" i="13" s="1"/>
  <c r="C659" i="13" s="1"/>
  <c r="C660" i="13" s="1"/>
  <c r="C661" i="13" s="1"/>
  <c r="C662" i="13" s="1"/>
  <c r="C663" i="13" s="1"/>
  <c r="C664" i="13" s="1"/>
  <c r="C665" i="13" s="1"/>
  <c r="C666" i="13" s="1"/>
  <c r="C667" i="13" s="1"/>
  <c r="C668" i="13" s="1"/>
  <c r="C669" i="13" s="1"/>
  <c r="C670" i="13" s="1"/>
  <c r="C671" i="13" s="1"/>
  <c r="C672" i="13" s="1"/>
  <c r="C673" i="13" s="1"/>
  <c r="C674" i="13" s="1"/>
  <c r="C675" i="13" s="1"/>
  <c r="C676" i="13" s="1"/>
  <c r="C677" i="13" s="1"/>
  <c r="C678" i="13" s="1"/>
  <c r="C679" i="13" s="1"/>
  <c r="C680" i="13" s="1"/>
  <c r="C681" i="13" s="1"/>
  <c r="L617" i="13"/>
  <c r="J616" i="13"/>
  <c r="A603" i="13"/>
  <c r="O594" i="13"/>
  <c r="M594" i="13"/>
  <c r="O593" i="13"/>
  <c r="M593" i="13"/>
  <c r="O592" i="13"/>
  <c r="M592" i="13"/>
  <c r="O591" i="13"/>
  <c r="M591" i="13"/>
  <c r="O590" i="13"/>
  <c r="M590" i="13"/>
  <c r="O589" i="13"/>
  <c r="M589" i="13"/>
  <c r="O588" i="13"/>
  <c r="M588" i="13"/>
  <c r="O587" i="13"/>
  <c r="M587" i="13"/>
  <c r="O586" i="13"/>
  <c r="M586" i="13"/>
  <c r="O585" i="13"/>
  <c r="M585" i="13"/>
  <c r="O584" i="13"/>
  <c r="M584" i="13"/>
  <c r="O583" i="13"/>
  <c r="M583" i="13"/>
  <c r="O582" i="13"/>
  <c r="M582" i="13"/>
  <c r="O581" i="13"/>
  <c r="M581" i="13"/>
  <c r="O580" i="13"/>
  <c r="M580" i="13"/>
  <c r="O579" i="13"/>
  <c r="M579" i="13"/>
  <c r="O578" i="13"/>
  <c r="M578" i="13"/>
  <c r="O577" i="13"/>
  <c r="M577" i="13"/>
  <c r="O576" i="13"/>
  <c r="M576" i="13"/>
  <c r="O575" i="13"/>
  <c r="M575" i="13"/>
  <c r="O574" i="13"/>
  <c r="M574" i="13"/>
  <c r="O573" i="13"/>
  <c r="M573" i="13"/>
  <c r="O572" i="13"/>
  <c r="M572" i="13"/>
  <c r="O571" i="13"/>
  <c r="M571" i="13"/>
  <c r="O570" i="13"/>
  <c r="M570" i="13"/>
  <c r="O569" i="13"/>
  <c r="M569" i="13"/>
  <c r="O568" i="13"/>
  <c r="M568" i="13"/>
  <c r="O567" i="13"/>
  <c r="M567" i="13"/>
  <c r="O566" i="13"/>
  <c r="M566" i="13"/>
  <c r="O565" i="13"/>
  <c r="M565" i="13"/>
  <c r="O564" i="13"/>
  <c r="M564" i="13"/>
  <c r="O563" i="13"/>
  <c r="M563" i="13"/>
  <c r="O562" i="13"/>
  <c r="M562" i="13"/>
  <c r="O561" i="13"/>
  <c r="M561" i="13"/>
  <c r="O560" i="13"/>
  <c r="M560" i="13"/>
  <c r="O559" i="13"/>
  <c r="M559" i="13"/>
  <c r="O558" i="13"/>
  <c r="M558" i="13"/>
  <c r="O557" i="13"/>
  <c r="M557" i="13"/>
  <c r="O556" i="13"/>
  <c r="M556" i="13"/>
  <c r="O555" i="13"/>
  <c r="M555" i="13"/>
  <c r="O554" i="13"/>
  <c r="M554" i="13"/>
  <c r="O553" i="13"/>
  <c r="M553" i="13"/>
  <c r="O552" i="13"/>
  <c r="M552" i="13"/>
  <c r="O551" i="13"/>
  <c r="M551" i="13"/>
  <c r="O550" i="13"/>
  <c r="M550" i="13"/>
  <c r="O549" i="13"/>
  <c r="M549" i="13"/>
  <c r="O548" i="13"/>
  <c r="M548" i="13"/>
  <c r="O547" i="13"/>
  <c r="M547" i="13"/>
  <c r="O546" i="13"/>
  <c r="M546" i="13"/>
  <c r="O545" i="13"/>
  <c r="M545" i="13"/>
  <c r="D535" i="13"/>
  <c r="C535" i="13"/>
  <c r="C536" i="13" s="1"/>
  <c r="C537" i="13" s="1"/>
  <c r="C538" i="13" s="1"/>
  <c r="C539" i="13" s="1"/>
  <c r="C540" i="13" s="1"/>
  <c r="C541" i="13" s="1"/>
  <c r="C542" i="13" s="1"/>
  <c r="C543" i="13" s="1"/>
  <c r="C544" i="13" s="1"/>
  <c r="C545" i="13" s="1"/>
  <c r="C546" i="13" s="1"/>
  <c r="C547" i="13" s="1"/>
  <c r="C548" i="13" s="1"/>
  <c r="C549" i="13" s="1"/>
  <c r="C550" i="13" s="1"/>
  <c r="C551" i="13" s="1"/>
  <c r="C552" i="13" s="1"/>
  <c r="C553" i="13" s="1"/>
  <c r="C554" i="13" s="1"/>
  <c r="C555" i="13" s="1"/>
  <c r="C556" i="13" s="1"/>
  <c r="C557" i="13" s="1"/>
  <c r="C558" i="13" s="1"/>
  <c r="C559" i="13" s="1"/>
  <c r="C560" i="13" s="1"/>
  <c r="C561" i="13" s="1"/>
  <c r="C562" i="13" s="1"/>
  <c r="C563" i="13" s="1"/>
  <c r="C564" i="13" s="1"/>
  <c r="C565" i="13" s="1"/>
  <c r="C566" i="13" s="1"/>
  <c r="C567" i="13" s="1"/>
  <c r="C568" i="13" s="1"/>
  <c r="C569" i="13" s="1"/>
  <c r="C570" i="13" s="1"/>
  <c r="C571" i="13" s="1"/>
  <c r="C572" i="13" s="1"/>
  <c r="C573" i="13" s="1"/>
  <c r="C574" i="13" s="1"/>
  <c r="C575" i="13" s="1"/>
  <c r="C576" i="13" s="1"/>
  <c r="C577" i="13" s="1"/>
  <c r="C578" i="13" s="1"/>
  <c r="C579" i="13" s="1"/>
  <c r="C580" i="13" s="1"/>
  <c r="C581" i="13" s="1"/>
  <c r="C582" i="13" s="1"/>
  <c r="C583" i="13" s="1"/>
  <c r="C584" i="13" s="1"/>
  <c r="C585" i="13" s="1"/>
  <c r="C586" i="13" s="1"/>
  <c r="C587" i="13" s="1"/>
  <c r="C588" i="13" s="1"/>
  <c r="C589" i="13" s="1"/>
  <c r="C590" i="13" s="1"/>
  <c r="C591" i="13" s="1"/>
  <c r="C592" i="13" s="1"/>
  <c r="C593" i="13" s="1"/>
  <c r="C594" i="13" s="1"/>
  <c r="L530" i="13"/>
  <c r="J529" i="13"/>
  <c r="A516" i="13"/>
  <c r="O507" i="13"/>
  <c r="M507" i="13"/>
  <c r="O506" i="13"/>
  <c r="M506" i="13"/>
  <c r="O505" i="13"/>
  <c r="M505" i="13"/>
  <c r="O504" i="13"/>
  <c r="M504" i="13"/>
  <c r="O503" i="13"/>
  <c r="M503" i="13"/>
  <c r="O502" i="13"/>
  <c r="M502" i="13"/>
  <c r="O501" i="13"/>
  <c r="M501" i="13"/>
  <c r="O500" i="13"/>
  <c r="M500" i="13"/>
  <c r="O499" i="13"/>
  <c r="M499" i="13"/>
  <c r="O498" i="13"/>
  <c r="M498" i="13"/>
  <c r="O497" i="13"/>
  <c r="M497" i="13"/>
  <c r="O496" i="13"/>
  <c r="M496" i="13"/>
  <c r="O495" i="13"/>
  <c r="M495" i="13"/>
  <c r="O494" i="13"/>
  <c r="M494" i="13"/>
  <c r="O493" i="13"/>
  <c r="M493" i="13"/>
  <c r="O492" i="13"/>
  <c r="M492" i="13"/>
  <c r="O491" i="13"/>
  <c r="M491" i="13"/>
  <c r="O490" i="13"/>
  <c r="M490" i="13"/>
  <c r="O489" i="13"/>
  <c r="M489" i="13"/>
  <c r="O488" i="13"/>
  <c r="M488" i="13"/>
  <c r="O487" i="13"/>
  <c r="M487" i="13"/>
  <c r="O486" i="13"/>
  <c r="M486" i="13"/>
  <c r="O485" i="13"/>
  <c r="M485" i="13"/>
  <c r="O484" i="13"/>
  <c r="M484" i="13"/>
  <c r="O483" i="13"/>
  <c r="M483" i="13"/>
  <c r="O482" i="13"/>
  <c r="M482" i="13"/>
  <c r="O481" i="13"/>
  <c r="M481" i="13"/>
  <c r="O480" i="13"/>
  <c r="M480" i="13"/>
  <c r="O479" i="13"/>
  <c r="M479" i="13"/>
  <c r="O478" i="13"/>
  <c r="M478" i="13"/>
  <c r="O477" i="13"/>
  <c r="M477" i="13"/>
  <c r="O476" i="13"/>
  <c r="M476" i="13"/>
  <c r="O475" i="13"/>
  <c r="M475" i="13"/>
  <c r="O474" i="13"/>
  <c r="M474" i="13"/>
  <c r="O473" i="13"/>
  <c r="M473" i="13"/>
  <c r="O472" i="13"/>
  <c r="M472" i="13"/>
  <c r="O471" i="13"/>
  <c r="M471" i="13"/>
  <c r="O470" i="13"/>
  <c r="M470" i="13"/>
  <c r="O469" i="13"/>
  <c r="M469" i="13"/>
  <c r="O468" i="13"/>
  <c r="M468" i="13"/>
  <c r="O467" i="13"/>
  <c r="M467" i="13"/>
  <c r="O466" i="13"/>
  <c r="M466" i="13"/>
  <c r="O465" i="13"/>
  <c r="M465" i="13"/>
  <c r="O464" i="13"/>
  <c r="M464" i="13"/>
  <c r="O463" i="13"/>
  <c r="M463" i="13"/>
  <c r="O462" i="13"/>
  <c r="M462" i="13"/>
  <c r="O461" i="13"/>
  <c r="M461" i="13"/>
  <c r="O460" i="13"/>
  <c r="M460" i="13"/>
  <c r="O459" i="13"/>
  <c r="M459" i="13"/>
  <c r="O458" i="13"/>
  <c r="M458" i="13"/>
  <c r="D448" i="13"/>
  <c r="C448" i="13"/>
  <c r="C449" i="13" s="1"/>
  <c r="C450" i="13" s="1"/>
  <c r="C451" i="13" s="1"/>
  <c r="C452" i="13" s="1"/>
  <c r="C453" i="13" s="1"/>
  <c r="C454" i="13" s="1"/>
  <c r="C455" i="13" s="1"/>
  <c r="C456" i="13" s="1"/>
  <c r="C457" i="13" s="1"/>
  <c r="C458" i="13" s="1"/>
  <c r="C459" i="13" s="1"/>
  <c r="C460" i="13" s="1"/>
  <c r="C461" i="13" s="1"/>
  <c r="C462" i="13" s="1"/>
  <c r="C463" i="13" s="1"/>
  <c r="C464" i="13" s="1"/>
  <c r="C465" i="13" s="1"/>
  <c r="C466" i="13" s="1"/>
  <c r="C467" i="13" s="1"/>
  <c r="C468" i="13" s="1"/>
  <c r="C469" i="13" s="1"/>
  <c r="C470" i="13" s="1"/>
  <c r="C471" i="13" s="1"/>
  <c r="C472" i="13" s="1"/>
  <c r="C473" i="13" s="1"/>
  <c r="C474" i="13" s="1"/>
  <c r="C475" i="13" s="1"/>
  <c r="C476" i="13" s="1"/>
  <c r="C477" i="13" s="1"/>
  <c r="L443" i="13"/>
  <c r="J442" i="13"/>
  <c r="A429" i="13"/>
  <c r="O420" i="13"/>
  <c r="M420" i="13"/>
  <c r="O419" i="13"/>
  <c r="M419" i="13"/>
  <c r="O418" i="13"/>
  <c r="M418" i="13"/>
  <c r="O417" i="13"/>
  <c r="M417" i="13"/>
  <c r="O416" i="13"/>
  <c r="M416" i="13"/>
  <c r="O415" i="13"/>
  <c r="M415" i="13"/>
  <c r="O414" i="13"/>
  <c r="M414" i="13"/>
  <c r="O413" i="13"/>
  <c r="M413" i="13"/>
  <c r="O412" i="13"/>
  <c r="M412" i="13"/>
  <c r="O411" i="13"/>
  <c r="M411" i="13"/>
  <c r="O410" i="13"/>
  <c r="M410" i="13"/>
  <c r="O409" i="13"/>
  <c r="M409" i="13"/>
  <c r="O408" i="13"/>
  <c r="M408" i="13"/>
  <c r="O407" i="13"/>
  <c r="M407" i="13"/>
  <c r="O406" i="13"/>
  <c r="M406" i="13"/>
  <c r="O405" i="13"/>
  <c r="M405" i="13"/>
  <c r="O404" i="13"/>
  <c r="M404" i="13"/>
  <c r="O403" i="13"/>
  <c r="M403" i="13"/>
  <c r="O402" i="13"/>
  <c r="M402" i="13"/>
  <c r="O401" i="13"/>
  <c r="M401" i="13"/>
  <c r="O400" i="13"/>
  <c r="M400" i="13"/>
  <c r="O399" i="13"/>
  <c r="M399" i="13"/>
  <c r="O398" i="13"/>
  <c r="M398" i="13"/>
  <c r="O397" i="13"/>
  <c r="M397" i="13"/>
  <c r="O396" i="13"/>
  <c r="M396" i="13"/>
  <c r="O395" i="13"/>
  <c r="M395" i="13"/>
  <c r="O394" i="13"/>
  <c r="M394" i="13"/>
  <c r="O393" i="13"/>
  <c r="M393" i="13"/>
  <c r="O392" i="13"/>
  <c r="M392" i="13"/>
  <c r="O391" i="13"/>
  <c r="M391" i="13"/>
  <c r="O390" i="13"/>
  <c r="M390" i="13"/>
  <c r="O389" i="13"/>
  <c r="M389" i="13"/>
  <c r="O388" i="13"/>
  <c r="M388" i="13"/>
  <c r="O387" i="13"/>
  <c r="M387" i="13"/>
  <c r="O386" i="13"/>
  <c r="M386" i="13"/>
  <c r="O385" i="13"/>
  <c r="M385" i="13"/>
  <c r="O384" i="13"/>
  <c r="M384" i="13"/>
  <c r="O383" i="13"/>
  <c r="M383" i="13"/>
  <c r="O382" i="13"/>
  <c r="M382" i="13"/>
  <c r="O381" i="13"/>
  <c r="M381" i="13"/>
  <c r="O380" i="13"/>
  <c r="M380" i="13"/>
  <c r="O379" i="13"/>
  <c r="M379" i="13"/>
  <c r="O378" i="13"/>
  <c r="M378" i="13"/>
  <c r="O377" i="13"/>
  <c r="M377" i="13"/>
  <c r="O376" i="13"/>
  <c r="M376" i="13"/>
  <c r="O375" i="13"/>
  <c r="M375" i="13"/>
  <c r="O374" i="13"/>
  <c r="M374" i="13"/>
  <c r="O373" i="13"/>
  <c r="M373" i="13"/>
  <c r="D361" i="13"/>
  <c r="C361" i="13"/>
  <c r="C362" i="13" s="1"/>
  <c r="C363" i="13" s="1"/>
  <c r="C364" i="13" s="1"/>
  <c r="C365" i="13" s="1"/>
  <c r="C366" i="13" s="1"/>
  <c r="C367" i="13" s="1"/>
  <c r="C368" i="13" s="1"/>
  <c r="C369" i="13" s="1"/>
  <c r="C370" i="13" s="1"/>
  <c r="C371" i="13" s="1"/>
  <c r="C372" i="13" s="1"/>
  <c r="C373" i="13" s="1"/>
  <c r="C374" i="13" s="1"/>
  <c r="C375" i="13" s="1"/>
  <c r="C376" i="13" s="1"/>
  <c r="C377" i="13" s="1"/>
  <c r="C378" i="13" s="1"/>
  <c r="C379" i="13" s="1"/>
  <c r="C380" i="13" s="1"/>
  <c r="C381" i="13" s="1"/>
  <c r="C382" i="13" s="1"/>
  <c r="C383" i="13" s="1"/>
  <c r="C384" i="13" s="1"/>
  <c r="C385" i="13" s="1"/>
  <c r="C386" i="13" s="1"/>
  <c r="C387" i="13" s="1"/>
  <c r="C388" i="13" s="1"/>
  <c r="C389" i="13" s="1"/>
  <c r="C390" i="13" s="1"/>
  <c r="C391" i="13" s="1"/>
  <c r="C392" i="13" s="1"/>
  <c r="C393" i="13" s="1"/>
  <c r="C394" i="13" s="1"/>
  <c r="C395" i="13" s="1"/>
  <c r="C396" i="13" s="1"/>
  <c r="C397" i="13" s="1"/>
  <c r="C398" i="13" s="1"/>
  <c r="C399" i="13" s="1"/>
  <c r="C400" i="13" s="1"/>
  <c r="C401" i="13" s="1"/>
  <c r="C402" i="13" s="1"/>
  <c r="C403" i="13" s="1"/>
  <c r="C404" i="13" s="1"/>
  <c r="C405" i="13" s="1"/>
  <c r="C406" i="13" s="1"/>
  <c r="C407" i="13" s="1"/>
  <c r="C408" i="13" s="1"/>
  <c r="C409" i="13" s="1"/>
  <c r="C410" i="13" s="1"/>
  <c r="C411" i="13" s="1"/>
  <c r="C412" i="13" s="1"/>
  <c r="C413" i="13" s="1"/>
  <c r="C414" i="13" s="1"/>
  <c r="C415" i="13" s="1"/>
  <c r="C416" i="13" s="1"/>
  <c r="C417" i="13" s="1"/>
  <c r="C418" i="13" s="1"/>
  <c r="C419" i="13" s="1"/>
  <c r="C420" i="13" s="1"/>
  <c r="L356" i="13"/>
  <c r="J355" i="13"/>
  <c r="A342" i="13"/>
  <c r="O333" i="13"/>
  <c r="M333" i="13"/>
  <c r="O332" i="13"/>
  <c r="M332" i="13"/>
  <c r="O331" i="13"/>
  <c r="M331" i="13"/>
  <c r="O330" i="13"/>
  <c r="M330" i="13"/>
  <c r="O329" i="13"/>
  <c r="M329" i="13"/>
  <c r="O328" i="13"/>
  <c r="M328" i="13"/>
  <c r="O327" i="13"/>
  <c r="M327" i="13"/>
  <c r="O326" i="13"/>
  <c r="M326" i="13"/>
  <c r="O325" i="13"/>
  <c r="M325" i="13"/>
  <c r="O324" i="13"/>
  <c r="M324" i="13"/>
  <c r="O323" i="13"/>
  <c r="M323" i="13"/>
  <c r="O322" i="13"/>
  <c r="M322" i="13"/>
  <c r="O321" i="13"/>
  <c r="M321" i="13"/>
  <c r="O320" i="13"/>
  <c r="M320" i="13"/>
  <c r="O319" i="13"/>
  <c r="M319" i="13"/>
  <c r="O318" i="13"/>
  <c r="M318" i="13"/>
  <c r="O317" i="13"/>
  <c r="M317" i="13"/>
  <c r="O316" i="13"/>
  <c r="M316" i="13"/>
  <c r="O315" i="13"/>
  <c r="M315" i="13"/>
  <c r="O314" i="13"/>
  <c r="M314" i="13"/>
  <c r="O313" i="13"/>
  <c r="M313" i="13"/>
  <c r="O312" i="13"/>
  <c r="M312" i="13"/>
  <c r="O311" i="13"/>
  <c r="M311" i="13"/>
  <c r="O310" i="13"/>
  <c r="M310" i="13"/>
  <c r="O309" i="13"/>
  <c r="M309" i="13"/>
  <c r="O308" i="13"/>
  <c r="M308" i="13"/>
  <c r="O307" i="13"/>
  <c r="M307" i="13"/>
  <c r="O306" i="13"/>
  <c r="M306" i="13"/>
  <c r="O305" i="13"/>
  <c r="M305" i="13"/>
  <c r="O304" i="13"/>
  <c r="M304" i="13"/>
  <c r="O303" i="13"/>
  <c r="M303" i="13"/>
  <c r="O302" i="13"/>
  <c r="M302" i="13"/>
  <c r="O301" i="13"/>
  <c r="M301" i="13"/>
  <c r="O300" i="13"/>
  <c r="M300" i="13"/>
  <c r="O299" i="13"/>
  <c r="M299" i="13"/>
  <c r="O298" i="13"/>
  <c r="M298" i="13"/>
  <c r="O297" i="13"/>
  <c r="M297" i="13"/>
  <c r="O296" i="13"/>
  <c r="M296" i="13"/>
  <c r="O295" i="13"/>
  <c r="M295" i="13"/>
  <c r="O294" i="13"/>
  <c r="M294" i="13"/>
  <c r="O293" i="13"/>
  <c r="M293" i="13"/>
  <c r="O292" i="13"/>
  <c r="M292" i="13"/>
  <c r="O291" i="13"/>
  <c r="M291" i="13"/>
  <c r="O290" i="13"/>
  <c r="M290" i="13"/>
  <c r="O289" i="13"/>
  <c r="M289" i="13"/>
  <c r="O288" i="13"/>
  <c r="M288" i="13"/>
  <c r="O287" i="13"/>
  <c r="M287" i="13"/>
  <c r="D274" i="13"/>
  <c r="C274" i="13"/>
  <c r="C275" i="13" s="1"/>
  <c r="C276" i="13" s="1"/>
  <c r="C277" i="13" s="1"/>
  <c r="C278" i="13" s="1"/>
  <c r="C279" i="13" s="1"/>
  <c r="C280" i="13" s="1"/>
  <c r="C281" i="13" s="1"/>
  <c r="C282" i="13" s="1"/>
  <c r="C283" i="13" s="1"/>
  <c r="C284" i="13" s="1"/>
  <c r="C285" i="13" s="1"/>
  <c r="C286" i="13" s="1"/>
  <c r="C287" i="13" s="1"/>
  <c r="C288" i="13" s="1"/>
  <c r="C289" i="13" s="1"/>
  <c r="C290" i="13" s="1"/>
  <c r="C291" i="13" s="1"/>
  <c r="C292" i="13" s="1"/>
  <c r="C293" i="13" s="1"/>
  <c r="C294" i="13" s="1"/>
  <c r="C295" i="13" s="1"/>
  <c r="C296" i="13" s="1"/>
  <c r="C297" i="13" s="1"/>
  <c r="C298" i="13" s="1"/>
  <c r="C299" i="13" s="1"/>
  <c r="C300" i="13" s="1"/>
  <c r="C301" i="13" s="1"/>
  <c r="C302" i="13" s="1"/>
  <c r="C303" i="13" s="1"/>
  <c r="C304" i="13" s="1"/>
  <c r="C305" i="13" s="1"/>
  <c r="C306" i="13" s="1"/>
  <c r="C307" i="13" s="1"/>
  <c r="C308" i="13" s="1"/>
  <c r="C309" i="13" s="1"/>
  <c r="C310" i="13" s="1"/>
  <c r="C311" i="13" s="1"/>
  <c r="C312" i="13" s="1"/>
  <c r="C313" i="13" s="1"/>
  <c r="C314" i="13" s="1"/>
  <c r="C315" i="13" s="1"/>
  <c r="C316" i="13" s="1"/>
  <c r="C317" i="13" s="1"/>
  <c r="C318" i="13" s="1"/>
  <c r="C319" i="13" s="1"/>
  <c r="C320" i="13" s="1"/>
  <c r="C321" i="13" s="1"/>
  <c r="C322" i="13" s="1"/>
  <c r="C323" i="13" s="1"/>
  <c r="C324" i="13" s="1"/>
  <c r="C325" i="13" s="1"/>
  <c r="C326" i="13" s="1"/>
  <c r="C327" i="13" s="1"/>
  <c r="C328" i="13" s="1"/>
  <c r="C329" i="13" s="1"/>
  <c r="C330" i="13" s="1"/>
  <c r="C331" i="13" s="1"/>
  <c r="C332" i="13" s="1"/>
  <c r="C333" i="13" s="1"/>
  <c r="L269" i="13"/>
  <c r="J268" i="13"/>
  <c r="A255" i="13"/>
  <c r="O246" i="13"/>
  <c r="M246" i="13"/>
  <c r="O245" i="13"/>
  <c r="M245" i="13"/>
  <c r="O244" i="13"/>
  <c r="M244" i="13"/>
  <c r="O243" i="13"/>
  <c r="M243" i="13"/>
  <c r="O242" i="13"/>
  <c r="M242" i="13"/>
  <c r="O241" i="13"/>
  <c r="M241" i="13"/>
  <c r="O240" i="13"/>
  <c r="M240" i="13"/>
  <c r="O239" i="13"/>
  <c r="M239" i="13"/>
  <c r="O238" i="13"/>
  <c r="M238" i="13"/>
  <c r="O237" i="13"/>
  <c r="M237" i="13"/>
  <c r="O236" i="13"/>
  <c r="M236" i="13"/>
  <c r="O235" i="13"/>
  <c r="M235" i="13"/>
  <c r="O234" i="13"/>
  <c r="M234" i="13"/>
  <c r="O233" i="13"/>
  <c r="M233" i="13"/>
  <c r="O232" i="13"/>
  <c r="M232" i="13"/>
  <c r="O231" i="13"/>
  <c r="M231" i="13"/>
  <c r="O230" i="13"/>
  <c r="M230" i="13"/>
  <c r="O229" i="13"/>
  <c r="M229" i="13"/>
  <c r="O228" i="13"/>
  <c r="M228" i="13"/>
  <c r="O227" i="13"/>
  <c r="M227" i="13"/>
  <c r="O226" i="13"/>
  <c r="M226" i="13"/>
  <c r="O225" i="13"/>
  <c r="M225" i="13"/>
  <c r="O224" i="13"/>
  <c r="M224" i="13"/>
  <c r="O223" i="13"/>
  <c r="M223" i="13"/>
  <c r="O222" i="13"/>
  <c r="M222" i="13"/>
  <c r="O221" i="13"/>
  <c r="M221" i="13"/>
  <c r="O220" i="13"/>
  <c r="M220" i="13"/>
  <c r="O219" i="13"/>
  <c r="M219" i="13"/>
  <c r="O218" i="13"/>
  <c r="M218" i="13"/>
  <c r="O217" i="13"/>
  <c r="M217" i="13"/>
  <c r="O216" i="13"/>
  <c r="M216" i="13"/>
  <c r="O215" i="13"/>
  <c r="M215" i="13"/>
  <c r="O214" i="13"/>
  <c r="M214" i="13"/>
  <c r="O213" i="13"/>
  <c r="M213" i="13"/>
  <c r="O212" i="13"/>
  <c r="M212" i="13"/>
  <c r="O211" i="13"/>
  <c r="M211" i="13"/>
  <c r="O210" i="13"/>
  <c r="M210" i="13"/>
  <c r="O209" i="13"/>
  <c r="M209" i="13"/>
  <c r="O208" i="13"/>
  <c r="M208" i="13"/>
  <c r="O207" i="13"/>
  <c r="M207" i="13"/>
  <c r="O206" i="13"/>
  <c r="M206" i="13"/>
  <c r="O205" i="13"/>
  <c r="M205" i="13"/>
  <c r="O204" i="13"/>
  <c r="M204" i="13"/>
  <c r="O203" i="13"/>
  <c r="M203" i="13"/>
  <c r="O202" i="13"/>
  <c r="M202" i="13"/>
  <c r="O201" i="13"/>
  <c r="M201" i="13"/>
  <c r="O200" i="13"/>
  <c r="M200" i="13"/>
  <c r="D187" i="13"/>
  <c r="C187" i="13"/>
  <c r="C188" i="13" s="1"/>
  <c r="C189" i="13" s="1"/>
  <c r="C190" i="13" s="1"/>
  <c r="C191" i="13" s="1"/>
  <c r="C192" i="13" s="1"/>
  <c r="C193" i="13" s="1"/>
  <c r="C194" i="13" s="1"/>
  <c r="C195" i="13" s="1"/>
  <c r="C196" i="13" s="1"/>
  <c r="C197" i="13" s="1"/>
  <c r="C198" i="13" s="1"/>
  <c r="C199" i="13" s="1"/>
  <c r="C200" i="13" s="1"/>
  <c r="C201" i="13" s="1"/>
  <c r="C202" i="13" s="1"/>
  <c r="C203" i="13" s="1"/>
  <c r="C204" i="13" s="1"/>
  <c r="C205" i="13" s="1"/>
  <c r="C206" i="13" s="1"/>
  <c r="C207" i="13" s="1"/>
  <c r="C208" i="13" s="1"/>
  <c r="C209" i="13" s="1"/>
  <c r="C210" i="13" s="1"/>
  <c r="C211" i="13" s="1"/>
  <c r="C212" i="13" s="1"/>
  <c r="C213" i="13" s="1"/>
  <c r="C214" i="13" s="1"/>
  <c r="C215" i="13" s="1"/>
  <c r="C216" i="13" s="1"/>
  <c r="C217" i="13" s="1"/>
  <c r="C218" i="13" s="1"/>
  <c r="C219" i="13" s="1"/>
  <c r="C220" i="13" s="1"/>
  <c r="C221" i="13" s="1"/>
  <c r="C222" i="13" s="1"/>
  <c r="C223" i="13" s="1"/>
  <c r="C224" i="13" s="1"/>
  <c r="C225" i="13" s="1"/>
  <c r="C226" i="13" s="1"/>
  <c r="C227" i="13" s="1"/>
  <c r="C228" i="13" s="1"/>
  <c r="C229" i="13" s="1"/>
  <c r="C230" i="13" s="1"/>
  <c r="C231" i="13" s="1"/>
  <c r="C232" i="13" s="1"/>
  <c r="C233" i="13" s="1"/>
  <c r="C234" i="13" s="1"/>
  <c r="C235" i="13" s="1"/>
  <c r="C236" i="13" s="1"/>
  <c r="C237" i="13" s="1"/>
  <c r="C238" i="13" s="1"/>
  <c r="C239" i="13" s="1"/>
  <c r="C240" i="13" s="1"/>
  <c r="C241" i="13" s="1"/>
  <c r="C242" i="13" s="1"/>
  <c r="C243" i="13" s="1"/>
  <c r="C244" i="13" s="1"/>
  <c r="C245" i="13" s="1"/>
  <c r="C246" i="13" s="1"/>
  <c r="L182" i="13"/>
  <c r="J181" i="13"/>
  <c r="A168" i="13"/>
  <c r="A3" i="13"/>
  <c r="B3" i="13"/>
  <c r="C3" i="13"/>
  <c r="D3" i="13"/>
  <c r="E3" i="13"/>
  <c r="F3" i="13"/>
  <c r="G3" i="13"/>
  <c r="H3" i="13"/>
  <c r="I3" i="13"/>
  <c r="J3" i="13"/>
  <c r="K3" i="13"/>
  <c r="L3" i="13"/>
  <c r="M3" i="13"/>
  <c r="N3" i="13"/>
  <c r="O3" i="13"/>
  <c r="P3" i="13"/>
  <c r="A4" i="13"/>
  <c r="A6" i="13"/>
  <c r="J77" i="13" s="1"/>
  <c r="C11" i="13"/>
  <c r="C14" i="13"/>
  <c r="F16" i="13"/>
  <c r="F18" i="13" s="1"/>
  <c r="E23" i="13" s="1"/>
  <c r="C18" i="13"/>
  <c r="M23" i="13"/>
  <c r="C26" i="13"/>
  <c r="C32" i="13"/>
  <c r="C42" i="13"/>
  <c r="C43" i="13"/>
  <c r="C47" i="13"/>
  <c r="C53" i="13"/>
  <c r="C55" i="13"/>
  <c r="C58" i="13"/>
  <c r="C60" i="13"/>
  <c r="C62" i="13"/>
  <c r="C65" i="13"/>
  <c r="C66" i="13"/>
  <c r="C68" i="13"/>
  <c r="C69" i="13"/>
  <c r="C71" i="13"/>
  <c r="L87" i="13"/>
  <c r="J94" i="13"/>
  <c r="L95" i="13"/>
  <c r="C100" i="13"/>
  <c r="C101" i="13" s="1"/>
  <c r="C102" i="13" s="1"/>
  <c r="C103" i="13" s="1"/>
  <c r="C104" i="13" s="1"/>
  <c r="C105" i="13" s="1"/>
  <c r="C106" i="13" s="1"/>
  <c r="C107" i="13" s="1"/>
  <c r="C108" i="13" s="1"/>
  <c r="C109" i="13" s="1"/>
  <c r="C110" i="13" s="1"/>
  <c r="C111" i="13" s="1"/>
  <c r="C112" i="13" s="1"/>
  <c r="C113" i="13" s="1"/>
  <c r="C114" i="13" s="1"/>
  <c r="C115" i="13" s="1"/>
  <c r="C116" i="13" s="1"/>
  <c r="C117" i="13" s="1"/>
  <c r="C118" i="13" s="1"/>
  <c r="C119" i="13" s="1"/>
  <c r="C120" i="13" s="1"/>
  <c r="C121" i="13" s="1"/>
  <c r="C122" i="13" s="1"/>
  <c r="C123" i="13" s="1"/>
  <c r="C124" i="13" s="1"/>
  <c r="C125" i="13" s="1"/>
  <c r="C126" i="13" s="1"/>
  <c r="C127" i="13" s="1"/>
  <c r="C128" i="13" s="1"/>
  <c r="C129" i="13" s="1"/>
  <c r="D100" i="13"/>
  <c r="M114" i="13"/>
  <c r="O114" i="13"/>
  <c r="M115" i="13"/>
  <c r="O115" i="13"/>
  <c r="M116" i="13"/>
  <c r="O116" i="13"/>
  <c r="M117" i="13"/>
  <c r="O117" i="13"/>
  <c r="M118" i="13"/>
  <c r="O118"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M132" i="13"/>
  <c r="O132" i="13"/>
  <c r="M133" i="13"/>
  <c r="O133" i="13"/>
  <c r="M134" i="13"/>
  <c r="O134" i="13"/>
  <c r="M135" i="13"/>
  <c r="O135" i="13"/>
  <c r="M136" i="13"/>
  <c r="O136" i="13"/>
  <c r="M137" i="13"/>
  <c r="O137" i="13"/>
  <c r="M138" i="13"/>
  <c r="O138" i="13"/>
  <c r="M139" i="13"/>
  <c r="O139" i="13"/>
  <c r="M140" i="13"/>
  <c r="O140" i="13"/>
  <c r="M141" i="13"/>
  <c r="O141" i="13"/>
  <c r="M142" i="13"/>
  <c r="O142" i="13"/>
  <c r="M143" i="13"/>
  <c r="O143" i="13"/>
  <c r="M144" i="13"/>
  <c r="O144" i="13"/>
  <c r="M145" i="13"/>
  <c r="O145" i="13"/>
  <c r="M146" i="13"/>
  <c r="O146" i="13"/>
  <c r="M147" i="13"/>
  <c r="O147" i="13"/>
  <c r="M148" i="13"/>
  <c r="O148" i="13"/>
  <c r="M149" i="13"/>
  <c r="O149" i="13"/>
  <c r="M150" i="13"/>
  <c r="O150" i="13"/>
  <c r="M151" i="13"/>
  <c r="O151" i="13"/>
  <c r="M152" i="13"/>
  <c r="O152" i="13"/>
  <c r="M153" i="13"/>
  <c r="O153" i="13"/>
  <c r="M154" i="13"/>
  <c r="O154" i="13"/>
  <c r="M155" i="13"/>
  <c r="O155" i="13"/>
  <c r="M156" i="13"/>
  <c r="O156" i="13"/>
  <c r="M157" i="13"/>
  <c r="O157" i="13"/>
  <c r="M158" i="13"/>
  <c r="O158" i="13"/>
  <c r="M159" i="13"/>
  <c r="O159" i="13"/>
  <c r="H41" i="39"/>
  <c r="H40" i="39"/>
  <c r="H38" i="39"/>
  <c r="F42" i="39"/>
  <c r="H35" i="39"/>
  <c r="H34" i="39"/>
  <c r="H32" i="39"/>
  <c r="E42" i="39"/>
  <c r="E42" i="38"/>
  <c r="G75" i="2" s="1"/>
  <c r="G23" i="38"/>
  <c r="G67" i="2" s="1"/>
  <c r="G42" i="38"/>
  <c r="G77" i="2" s="1"/>
  <c r="C42" i="38"/>
  <c r="G73" i="2" s="1"/>
  <c r="G15" i="41"/>
  <c r="G21" i="41" s="1"/>
  <c r="G21" i="35"/>
  <c r="G22" i="35" s="1"/>
  <c r="G23" i="35" s="1"/>
  <c r="D906" i="20"/>
  <c r="C906" i="20"/>
  <c r="C907" i="20" s="1"/>
  <c r="C908" i="20" s="1"/>
  <c r="C909" i="20" s="1"/>
  <c r="C910" i="20" s="1"/>
  <c r="C911" i="20" s="1"/>
  <c r="C912" i="20" s="1"/>
  <c r="C913" i="20" s="1"/>
  <c r="C914" i="20" s="1"/>
  <c r="C915" i="20" s="1"/>
  <c r="C916" i="20" s="1"/>
  <c r="C917" i="20" s="1"/>
  <c r="C918" i="20" s="1"/>
  <c r="C919" i="20" s="1"/>
  <c r="C920" i="20" s="1"/>
  <c r="C921" i="20" s="1"/>
  <c r="C922" i="20" s="1"/>
  <c r="C923" i="20" s="1"/>
  <c r="C924" i="20" s="1"/>
  <c r="C925" i="20" s="1"/>
  <c r="C926" i="20" s="1"/>
  <c r="C927" i="20" s="1"/>
  <c r="C928" i="20" s="1"/>
  <c r="C929" i="20" s="1"/>
  <c r="C930" i="20" s="1"/>
  <c r="C931" i="20" s="1"/>
  <c r="C932" i="20" s="1"/>
  <c r="C933" i="20" s="1"/>
  <c r="C934" i="20" s="1"/>
  <c r="C935" i="20" s="1"/>
  <c r="C936" i="20" s="1"/>
  <c r="C937" i="20" s="1"/>
  <c r="C938" i="20" s="1"/>
  <c r="C939" i="20" s="1"/>
  <c r="C940" i="20" s="1"/>
  <c r="C941" i="20" s="1"/>
  <c r="C942" i="20" s="1"/>
  <c r="C943" i="20" s="1"/>
  <c r="C944" i="20" s="1"/>
  <c r="C945" i="20" s="1"/>
  <c r="C946" i="20" s="1"/>
  <c r="C947" i="20" s="1"/>
  <c r="C948" i="20" s="1"/>
  <c r="C949" i="20" s="1"/>
  <c r="C950" i="20" s="1"/>
  <c r="C951" i="20" s="1"/>
  <c r="C952" i="20" s="1"/>
  <c r="C953" i="20" s="1"/>
  <c r="C954" i="20" s="1"/>
  <c r="C955" i="20" s="1"/>
  <c r="C956" i="20" s="1"/>
  <c r="C957" i="20" s="1"/>
  <c r="C958" i="20" s="1"/>
  <c r="C959" i="20" s="1"/>
  <c r="C960" i="20" s="1"/>
  <c r="C961" i="20" s="1"/>
  <c r="C962" i="20" s="1"/>
  <c r="C963" i="20" s="1"/>
  <c r="C964" i="20" s="1"/>
  <c r="C965" i="20" s="1"/>
  <c r="K901" i="20"/>
  <c r="I900" i="20"/>
  <c r="O887" i="20"/>
  <c r="N887" i="20"/>
  <c r="A887" i="20"/>
  <c r="H33" i="39"/>
  <c r="H39" i="39"/>
  <c r="H31" i="39"/>
  <c r="G137" i="2"/>
  <c r="J21" i="8"/>
  <c r="I42" i="5"/>
  <c r="I26" i="5"/>
  <c r="D32" i="32"/>
  <c r="C31" i="32"/>
  <c r="D31" i="32" s="1"/>
  <c r="D30" i="32"/>
  <c r="D29" i="32"/>
  <c r="H22" i="41"/>
  <c r="H23" i="41" s="1"/>
  <c r="H24" i="41" s="1"/>
  <c r="H25" i="41" s="1"/>
  <c r="H26" i="41" s="1"/>
  <c r="H27" i="41" s="1"/>
  <c r="H28" i="41" s="1"/>
  <c r="H29" i="41" s="1"/>
  <c r="H30" i="41" s="1"/>
  <c r="H31" i="41" s="1"/>
  <c r="H32" i="41" s="1"/>
  <c r="I10" i="41"/>
  <c r="E21" i="41" s="1"/>
  <c r="E22" i="41" s="1"/>
  <c r="E23" i="41" s="1"/>
  <c r="E24" i="41" s="1"/>
  <c r="E25" i="41" s="1"/>
  <c r="E26" i="41" s="1"/>
  <c r="E27" i="41" s="1"/>
  <c r="E28" i="41" s="1"/>
  <c r="E29" i="41" s="1"/>
  <c r="E30" i="41" s="1"/>
  <c r="E31" i="41" s="1"/>
  <c r="E32" i="41" s="1"/>
  <c r="G10" i="41"/>
  <c r="C10" i="41"/>
  <c r="H22" i="35"/>
  <c r="H23" i="35" s="1"/>
  <c r="H24" i="35" s="1"/>
  <c r="H25" i="35" s="1"/>
  <c r="H26" i="35" s="1"/>
  <c r="H27" i="35" s="1"/>
  <c r="H28" i="35" s="1"/>
  <c r="H29" i="35" s="1"/>
  <c r="H30" i="35" s="1"/>
  <c r="H31" i="35" s="1"/>
  <c r="H32" i="35" s="1"/>
  <c r="I10" i="35"/>
  <c r="E21" i="35" s="1"/>
  <c r="E22" i="35" s="1"/>
  <c r="E23" i="35" s="1"/>
  <c r="E24" i="35" s="1"/>
  <c r="E25" i="35" s="1"/>
  <c r="E26" i="35" s="1"/>
  <c r="E27" i="35" s="1"/>
  <c r="E28" i="35" s="1"/>
  <c r="E29" i="35" s="1"/>
  <c r="E30" i="35" s="1"/>
  <c r="E31" i="35" s="1"/>
  <c r="E32" i="35" s="1"/>
  <c r="G10" i="35"/>
  <c r="C10" i="35"/>
  <c r="D815" i="20"/>
  <c r="C815" i="20"/>
  <c r="C816" i="20" s="1"/>
  <c r="C817" i="20" s="1"/>
  <c r="C818" i="20" s="1"/>
  <c r="C819" i="20" s="1"/>
  <c r="C820" i="20" s="1"/>
  <c r="C821" i="20" s="1"/>
  <c r="C822" i="20" s="1"/>
  <c r="C823" i="20" s="1"/>
  <c r="C824" i="20" s="1"/>
  <c r="C825" i="20" s="1"/>
  <c r="C826" i="20" s="1"/>
  <c r="C827" i="20" s="1"/>
  <c r="C828" i="20" s="1"/>
  <c r="C829" i="20" s="1"/>
  <c r="C830" i="20" s="1"/>
  <c r="C831" i="20" s="1"/>
  <c r="C832" i="20" s="1"/>
  <c r="C833" i="20" s="1"/>
  <c r="C834" i="20" s="1"/>
  <c r="C835" i="20" s="1"/>
  <c r="C836" i="20" s="1"/>
  <c r="C837" i="20" s="1"/>
  <c r="C838" i="20" s="1"/>
  <c r="C839" i="20" s="1"/>
  <c r="C840" i="20" s="1"/>
  <c r="C841" i="20" s="1"/>
  <c r="C842" i="20" s="1"/>
  <c r="C843" i="20" s="1"/>
  <c r="C844" i="20" s="1"/>
  <c r="C845" i="20" s="1"/>
  <c r="C846" i="20" s="1"/>
  <c r="C847" i="20" s="1"/>
  <c r="C848" i="20" s="1"/>
  <c r="C849" i="20" s="1"/>
  <c r="C850" i="20" s="1"/>
  <c r="C851" i="20" s="1"/>
  <c r="C852" i="20" s="1"/>
  <c r="C853" i="20" s="1"/>
  <c r="C854" i="20" s="1"/>
  <c r="C855" i="20" s="1"/>
  <c r="C856" i="20" s="1"/>
  <c r="C857" i="20" s="1"/>
  <c r="C858" i="20" s="1"/>
  <c r="C859" i="20" s="1"/>
  <c r="C860" i="20" s="1"/>
  <c r="C861" i="20" s="1"/>
  <c r="C862" i="20" s="1"/>
  <c r="C863" i="20" s="1"/>
  <c r="C864" i="20" s="1"/>
  <c r="C865" i="20" s="1"/>
  <c r="C866" i="20" s="1"/>
  <c r="C867" i="20" s="1"/>
  <c r="C868" i="20" s="1"/>
  <c r="C869" i="20" s="1"/>
  <c r="C870" i="20" s="1"/>
  <c r="C871" i="20" s="1"/>
  <c r="C872" i="20" s="1"/>
  <c r="C873" i="20" s="1"/>
  <c r="C874" i="20" s="1"/>
  <c r="K810" i="20"/>
  <c r="I809" i="20"/>
  <c r="O796" i="20"/>
  <c r="N796" i="20"/>
  <c r="A796" i="20"/>
  <c r="D726" i="20"/>
  <c r="C726" i="20"/>
  <c r="C727" i="20" s="1"/>
  <c r="C728" i="20" s="1"/>
  <c r="C729" i="20" s="1"/>
  <c r="C730" i="20" s="1"/>
  <c r="C731" i="20" s="1"/>
  <c r="C732" i="20" s="1"/>
  <c r="C733" i="20" s="1"/>
  <c r="C734" i="20" s="1"/>
  <c r="C735" i="20" s="1"/>
  <c r="C736" i="20" s="1"/>
  <c r="C737" i="20" s="1"/>
  <c r="C738" i="20" s="1"/>
  <c r="C739" i="20" s="1"/>
  <c r="C740" i="20" s="1"/>
  <c r="C741" i="20" s="1"/>
  <c r="C742" i="20" s="1"/>
  <c r="C743" i="20" s="1"/>
  <c r="C744" i="20" s="1"/>
  <c r="C745" i="20" s="1"/>
  <c r="C746" i="20" s="1"/>
  <c r="C747" i="20" s="1"/>
  <c r="C748" i="20" s="1"/>
  <c r="C749" i="20" s="1"/>
  <c r="C750" i="20" s="1"/>
  <c r="C751" i="20" s="1"/>
  <c r="C752" i="20" s="1"/>
  <c r="C753" i="20" s="1"/>
  <c r="C754" i="20" s="1"/>
  <c r="C755" i="20" s="1"/>
  <c r="C756" i="20" s="1"/>
  <c r="C757" i="20" s="1"/>
  <c r="C758" i="20" s="1"/>
  <c r="C759" i="20" s="1"/>
  <c r="C760" i="20" s="1"/>
  <c r="C761" i="20" s="1"/>
  <c r="C762" i="20" s="1"/>
  <c r="C763" i="20" s="1"/>
  <c r="C764" i="20" s="1"/>
  <c r="C765" i="20" s="1"/>
  <c r="C766" i="20" s="1"/>
  <c r="C767" i="20" s="1"/>
  <c r="C768" i="20" s="1"/>
  <c r="C769" i="20" s="1"/>
  <c r="C770" i="20" s="1"/>
  <c r="C771" i="20" s="1"/>
  <c r="C772" i="20" s="1"/>
  <c r="C773" i="20" s="1"/>
  <c r="C774" i="20" s="1"/>
  <c r="C775" i="20" s="1"/>
  <c r="C776" i="20" s="1"/>
  <c r="C777" i="20" s="1"/>
  <c r="C778" i="20" s="1"/>
  <c r="C779" i="20" s="1"/>
  <c r="C780" i="20" s="1"/>
  <c r="C781" i="20" s="1"/>
  <c r="C782" i="20" s="1"/>
  <c r="C783" i="20" s="1"/>
  <c r="C784" i="20" s="1"/>
  <c r="C785" i="20" s="1"/>
  <c r="K721" i="20"/>
  <c r="I720" i="20"/>
  <c r="O707" i="20"/>
  <c r="N707" i="20"/>
  <c r="A707" i="20"/>
  <c r="D637" i="20"/>
  <c r="C637" i="20"/>
  <c r="C638" i="20" s="1"/>
  <c r="C639" i="20" s="1"/>
  <c r="C640" i="20" s="1"/>
  <c r="C641" i="20" s="1"/>
  <c r="C642" i="20" s="1"/>
  <c r="C643" i="20" s="1"/>
  <c r="C644" i="20" s="1"/>
  <c r="C645" i="20" s="1"/>
  <c r="C646" i="20" s="1"/>
  <c r="C647" i="20" s="1"/>
  <c r="C648" i="20" s="1"/>
  <c r="C649" i="20" s="1"/>
  <c r="C650" i="20" s="1"/>
  <c r="C651" i="20" s="1"/>
  <c r="C652" i="20" s="1"/>
  <c r="C653" i="20" s="1"/>
  <c r="C654" i="20" s="1"/>
  <c r="C655" i="20" s="1"/>
  <c r="C656" i="20" s="1"/>
  <c r="C657" i="20" s="1"/>
  <c r="C658" i="20" s="1"/>
  <c r="C659" i="20" s="1"/>
  <c r="C660" i="20" s="1"/>
  <c r="C661" i="20" s="1"/>
  <c r="C662" i="20" s="1"/>
  <c r="C663" i="20" s="1"/>
  <c r="C664" i="20" s="1"/>
  <c r="C665" i="20" s="1"/>
  <c r="C666" i="20" s="1"/>
  <c r="C667" i="20" s="1"/>
  <c r="C668" i="20" s="1"/>
  <c r="C669" i="20" s="1"/>
  <c r="C670" i="20" s="1"/>
  <c r="C671" i="20" s="1"/>
  <c r="C672" i="20" s="1"/>
  <c r="C673" i="20" s="1"/>
  <c r="C674" i="20" s="1"/>
  <c r="C675" i="20" s="1"/>
  <c r="C676" i="20" s="1"/>
  <c r="C677" i="20" s="1"/>
  <c r="C678" i="20" s="1"/>
  <c r="C679" i="20" s="1"/>
  <c r="C680" i="20" s="1"/>
  <c r="C681" i="20" s="1"/>
  <c r="C682" i="20" s="1"/>
  <c r="C683" i="20" s="1"/>
  <c r="C684" i="20" s="1"/>
  <c r="C685" i="20" s="1"/>
  <c r="C686" i="20" s="1"/>
  <c r="C687" i="20" s="1"/>
  <c r="C688" i="20" s="1"/>
  <c r="C689" i="20" s="1"/>
  <c r="C690" i="20" s="1"/>
  <c r="C691" i="20" s="1"/>
  <c r="C692" i="20" s="1"/>
  <c r="C693" i="20" s="1"/>
  <c r="C694" i="20" s="1"/>
  <c r="C695" i="20" s="1"/>
  <c r="C696" i="20" s="1"/>
  <c r="K632" i="20"/>
  <c r="I631" i="20"/>
  <c r="O618" i="20"/>
  <c r="N618" i="20"/>
  <c r="A618" i="20"/>
  <c r="D548" i="20"/>
  <c r="C548" i="20"/>
  <c r="C549" i="20" s="1"/>
  <c r="C550" i="20" s="1"/>
  <c r="C551" i="20" s="1"/>
  <c r="C552" i="20" s="1"/>
  <c r="C553" i="20" s="1"/>
  <c r="C554" i="20" s="1"/>
  <c r="C555" i="20" s="1"/>
  <c r="C556" i="20" s="1"/>
  <c r="C557" i="20" s="1"/>
  <c r="C558" i="20" s="1"/>
  <c r="C559" i="20" s="1"/>
  <c r="C560" i="20" s="1"/>
  <c r="C561" i="20" s="1"/>
  <c r="C562" i="20" s="1"/>
  <c r="C563" i="20" s="1"/>
  <c r="C564" i="20" s="1"/>
  <c r="C565" i="20" s="1"/>
  <c r="C566" i="20" s="1"/>
  <c r="C567" i="20" s="1"/>
  <c r="C568" i="20" s="1"/>
  <c r="C569" i="20" s="1"/>
  <c r="C570" i="20" s="1"/>
  <c r="C571" i="20" s="1"/>
  <c r="C572" i="20" s="1"/>
  <c r="C573" i="20" s="1"/>
  <c r="C574" i="20" s="1"/>
  <c r="C575" i="20" s="1"/>
  <c r="C576" i="20" s="1"/>
  <c r="C577" i="20" s="1"/>
  <c r="C578" i="20" s="1"/>
  <c r="C579" i="20" s="1"/>
  <c r="C580" i="20" s="1"/>
  <c r="C581" i="20" s="1"/>
  <c r="C582" i="20" s="1"/>
  <c r="C583" i="20" s="1"/>
  <c r="C584" i="20" s="1"/>
  <c r="C585" i="20" s="1"/>
  <c r="C586" i="20" s="1"/>
  <c r="C587" i="20" s="1"/>
  <c r="C588" i="20" s="1"/>
  <c r="C589" i="20" s="1"/>
  <c r="C590" i="20" s="1"/>
  <c r="C591" i="20" s="1"/>
  <c r="C592" i="20" s="1"/>
  <c r="C593" i="20" s="1"/>
  <c r="C594" i="20" s="1"/>
  <c r="C595" i="20" s="1"/>
  <c r="C596" i="20" s="1"/>
  <c r="C597" i="20" s="1"/>
  <c r="C598" i="20" s="1"/>
  <c r="C599" i="20" s="1"/>
  <c r="C600" i="20" s="1"/>
  <c r="C601" i="20" s="1"/>
  <c r="C602" i="20" s="1"/>
  <c r="C603" i="20" s="1"/>
  <c r="C604" i="20" s="1"/>
  <c r="C605" i="20" s="1"/>
  <c r="C606" i="20" s="1"/>
  <c r="C607" i="20" s="1"/>
  <c r="K543" i="20"/>
  <c r="I542" i="20"/>
  <c r="O529" i="20"/>
  <c r="N529" i="20"/>
  <c r="A529" i="20"/>
  <c r="N8" i="20"/>
  <c r="O440" i="20"/>
  <c r="N440" i="20"/>
  <c r="A440" i="20"/>
  <c r="O350" i="20"/>
  <c r="N350" i="20"/>
  <c r="A350" i="20"/>
  <c r="D459" i="20"/>
  <c r="C459" i="20"/>
  <c r="C460" i="20" s="1"/>
  <c r="C461" i="20" s="1"/>
  <c r="C462" i="20" s="1"/>
  <c r="C463" i="20" s="1"/>
  <c r="C464" i="20" s="1"/>
  <c r="C465" i="20" s="1"/>
  <c r="C466" i="20" s="1"/>
  <c r="C467" i="20" s="1"/>
  <c r="C468" i="20" s="1"/>
  <c r="C469" i="20" s="1"/>
  <c r="C470" i="20" s="1"/>
  <c r="C471" i="20" s="1"/>
  <c r="C472" i="20" s="1"/>
  <c r="C473" i="20" s="1"/>
  <c r="C474" i="20" s="1"/>
  <c r="C475" i="20" s="1"/>
  <c r="C476" i="20" s="1"/>
  <c r="C477" i="20" s="1"/>
  <c r="C478" i="20" s="1"/>
  <c r="C479" i="20" s="1"/>
  <c r="C480" i="20" s="1"/>
  <c r="C481" i="20" s="1"/>
  <c r="C482" i="20" s="1"/>
  <c r="C483" i="20" s="1"/>
  <c r="C484" i="20" s="1"/>
  <c r="C485" i="20" s="1"/>
  <c r="C486" i="20" s="1"/>
  <c r="C487" i="20" s="1"/>
  <c r="C488" i="20" s="1"/>
  <c r="C489" i="20" s="1"/>
  <c r="C490" i="20" s="1"/>
  <c r="C491" i="20" s="1"/>
  <c r="C492" i="20" s="1"/>
  <c r="C493" i="20" s="1"/>
  <c r="C494" i="20" s="1"/>
  <c r="C495" i="20" s="1"/>
  <c r="C496" i="20" s="1"/>
  <c r="C497" i="20" s="1"/>
  <c r="C498" i="20" s="1"/>
  <c r="C499" i="20" s="1"/>
  <c r="C500" i="20" s="1"/>
  <c r="C501" i="20" s="1"/>
  <c r="C502" i="20" s="1"/>
  <c r="C503" i="20" s="1"/>
  <c r="C504" i="20" s="1"/>
  <c r="C505" i="20" s="1"/>
  <c r="C506" i="20" s="1"/>
  <c r="C507" i="20" s="1"/>
  <c r="C508" i="20" s="1"/>
  <c r="C509" i="20" s="1"/>
  <c r="C510" i="20" s="1"/>
  <c r="C511" i="20" s="1"/>
  <c r="C512" i="20" s="1"/>
  <c r="C513" i="20" s="1"/>
  <c r="C514" i="20" s="1"/>
  <c r="C515" i="20" s="1"/>
  <c r="C516" i="20" s="1"/>
  <c r="C517" i="20" s="1"/>
  <c r="C518" i="20" s="1"/>
  <c r="K454" i="20"/>
  <c r="I453" i="20"/>
  <c r="D369" i="20"/>
  <c r="C369" i="20"/>
  <c r="C370" i="20" s="1"/>
  <c r="C371" i="20" s="1"/>
  <c r="C372" i="20" s="1"/>
  <c r="C373" i="20" s="1"/>
  <c r="C374" i="20" s="1"/>
  <c r="C375" i="20" s="1"/>
  <c r="C376" i="20" s="1"/>
  <c r="C377" i="20" s="1"/>
  <c r="C378" i="20" s="1"/>
  <c r="C379" i="20" s="1"/>
  <c r="C380" i="20" s="1"/>
  <c r="C381" i="20" s="1"/>
  <c r="C382" i="20" s="1"/>
  <c r="C383" i="20" s="1"/>
  <c r="C384" i="20" s="1"/>
  <c r="C385" i="20" s="1"/>
  <c r="C386" i="20" s="1"/>
  <c r="C387" i="20" s="1"/>
  <c r="C388" i="20" s="1"/>
  <c r="C389" i="20" s="1"/>
  <c r="C390" i="20" s="1"/>
  <c r="C391" i="20" s="1"/>
  <c r="C392" i="20" s="1"/>
  <c r="C393" i="20" s="1"/>
  <c r="C394" i="20" s="1"/>
  <c r="C395" i="20" s="1"/>
  <c r="C396" i="20" s="1"/>
  <c r="C397" i="20" s="1"/>
  <c r="C398" i="20" s="1"/>
  <c r="C399" i="20" s="1"/>
  <c r="C400" i="20" s="1"/>
  <c r="C401" i="20" s="1"/>
  <c r="C402" i="20" s="1"/>
  <c r="C403" i="20" s="1"/>
  <c r="C404" i="20" s="1"/>
  <c r="C405" i="20" s="1"/>
  <c r="C406" i="20" s="1"/>
  <c r="C407" i="20" s="1"/>
  <c r="C408" i="20" s="1"/>
  <c r="C409" i="20" s="1"/>
  <c r="C410" i="20" s="1"/>
  <c r="C411" i="20" s="1"/>
  <c r="C412" i="20" s="1"/>
  <c r="C413" i="20" s="1"/>
  <c r="C414" i="20" s="1"/>
  <c r="C415" i="20" s="1"/>
  <c r="C416" i="20" s="1"/>
  <c r="C417" i="20" s="1"/>
  <c r="C418" i="20" s="1"/>
  <c r="C419" i="20" s="1"/>
  <c r="C420" i="20" s="1"/>
  <c r="C421" i="20" s="1"/>
  <c r="C422" i="20" s="1"/>
  <c r="C423" i="20" s="1"/>
  <c r="C424" i="20" s="1"/>
  <c r="C425" i="20" s="1"/>
  <c r="C426" i="20" s="1"/>
  <c r="C427" i="20" s="1"/>
  <c r="C428" i="20" s="1"/>
  <c r="K364" i="20"/>
  <c r="I363" i="20"/>
  <c r="D280" i="20"/>
  <c r="C280" i="20"/>
  <c r="C281" i="20" s="1"/>
  <c r="C282" i="20" s="1"/>
  <c r="C283" i="20" s="1"/>
  <c r="C284" i="20" s="1"/>
  <c r="C285" i="20" s="1"/>
  <c r="C286" i="20" s="1"/>
  <c r="C287" i="20" s="1"/>
  <c r="C288" i="20" s="1"/>
  <c r="C289" i="20" s="1"/>
  <c r="C290" i="20" s="1"/>
  <c r="C291" i="20" s="1"/>
  <c r="C292" i="20" s="1"/>
  <c r="C293" i="20" s="1"/>
  <c r="C294" i="20" s="1"/>
  <c r="C295" i="20" s="1"/>
  <c r="C296" i="20" s="1"/>
  <c r="C297" i="20" s="1"/>
  <c r="C298" i="20" s="1"/>
  <c r="C299" i="20" s="1"/>
  <c r="C300" i="20" s="1"/>
  <c r="C301" i="20" s="1"/>
  <c r="C302" i="20" s="1"/>
  <c r="C303" i="20" s="1"/>
  <c r="C304" i="20" s="1"/>
  <c r="C305" i="20" s="1"/>
  <c r="C306" i="20" s="1"/>
  <c r="C307" i="20" s="1"/>
  <c r="C308" i="20" s="1"/>
  <c r="C309" i="20" s="1"/>
  <c r="C310" i="20" s="1"/>
  <c r="C311" i="20" s="1"/>
  <c r="C312" i="20" s="1"/>
  <c r="C313" i="20" s="1"/>
  <c r="C314" i="20" s="1"/>
  <c r="C315" i="20" s="1"/>
  <c r="C316" i="20" s="1"/>
  <c r="C317" i="20" s="1"/>
  <c r="C318" i="20" s="1"/>
  <c r="C319" i="20" s="1"/>
  <c r="C320" i="20" s="1"/>
  <c r="C321" i="20" s="1"/>
  <c r="C322" i="20" s="1"/>
  <c r="C323" i="20" s="1"/>
  <c r="C324" i="20" s="1"/>
  <c r="C325" i="20" s="1"/>
  <c r="C326" i="20" s="1"/>
  <c r="C327" i="20" s="1"/>
  <c r="C328" i="20" s="1"/>
  <c r="C329" i="20" s="1"/>
  <c r="C330" i="20" s="1"/>
  <c r="C331" i="20" s="1"/>
  <c r="C332" i="20" s="1"/>
  <c r="C333" i="20" s="1"/>
  <c r="C334" i="20" s="1"/>
  <c r="C335" i="20" s="1"/>
  <c r="C336" i="20" s="1"/>
  <c r="C337" i="20" s="1"/>
  <c r="C338" i="20" s="1"/>
  <c r="C339" i="20" s="1"/>
  <c r="K275" i="20"/>
  <c r="I274" i="20"/>
  <c r="O261" i="20"/>
  <c r="N261" i="20"/>
  <c r="A261" i="20"/>
  <c r="D191" i="20"/>
  <c r="C191" i="20"/>
  <c r="C192" i="20" s="1"/>
  <c r="C193" i="20" s="1"/>
  <c r="C194" i="20" s="1"/>
  <c r="C195" i="20" s="1"/>
  <c r="C196" i="20" s="1"/>
  <c r="C197" i="20" s="1"/>
  <c r="C198" i="20" s="1"/>
  <c r="C199" i="20" s="1"/>
  <c r="C200" i="20" s="1"/>
  <c r="C201" i="20" s="1"/>
  <c r="C202" i="20" s="1"/>
  <c r="C203" i="20" s="1"/>
  <c r="C204" i="20" s="1"/>
  <c r="C205" i="20" s="1"/>
  <c r="C206" i="20" s="1"/>
  <c r="C207" i="20" s="1"/>
  <c r="C208" i="20" s="1"/>
  <c r="C209" i="20" s="1"/>
  <c r="C210" i="20" s="1"/>
  <c r="C211" i="20" s="1"/>
  <c r="C212" i="20" s="1"/>
  <c r="C213" i="20" s="1"/>
  <c r="C214" i="20" s="1"/>
  <c r="C215" i="20" s="1"/>
  <c r="C216" i="20" s="1"/>
  <c r="C217" i="20" s="1"/>
  <c r="C218" i="20" s="1"/>
  <c r="C219" i="20" s="1"/>
  <c r="C220" i="20" s="1"/>
  <c r="C221" i="20" s="1"/>
  <c r="C222" i="20" s="1"/>
  <c r="C223" i="20" s="1"/>
  <c r="C224" i="20" s="1"/>
  <c r="C225" i="20" s="1"/>
  <c r="C226" i="20" s="1"/>
  <c r="C227" i="20" s="1"/>
  <c r="C228" i="20" s="1"/>
  <c r="C229" i="20" s="1"/>
  <c r="C230" i="20" s="1"/>
  <c r="C231" i="20" s="1"/>
  <c r="C232" i="20" s="1"/>
  <c r="C233" i="20" s="1"/>
  <c r="C234" i="20" s="1"/>
  <c r="C235" i="20" s="1"/>
  <c r="C236" i="20" s="1"/>
  <c r="C237" i="20" s="1"/>
  <c r="C238" i="20" s="1"/>
  <c r="C239" i="20" s="1"/>
  <c r="C240" i="20" s="1"/>
  <c r="C241" i="20" s="1"/>
  <c r="C242" i="20" s="1"/>
  <c r="C243" i="20" s="1"/>
  <c r="C244" i="20" s="1"/>
  <c r="C245" i="20" s="1"/>
  <c r="C246" i="20" s="1"/>
  <c r="C247" i="20" s="1"/>
  <c r="C248" i="20" s="1"/>
  <c r="C249" i="20" s="1"/>
  <c r="C250" i="20" s="1"/>
  <c r="K186" i="20"/>
  <c r="I185" i="20"/>
  <c r="O172" i="20"/>
  <c r="N172" i="20"/>
  <c r="A172" i="20"/>
  <c r="D62" i="38"/>
  <c r="C62" i="38"/>
  <c r="L214" i="2" s="1"/>
  <c r="F42" i="38"/>
  <c r="G76" i="2" s="1"/>
  <c r="D42" i="38"/>
  <c r="G74" i="2" s="1"/>
  <c r="F23" i="38"/>
  <c r="G66" i="2" s="1"/>
  <c r="D23" i="38"/>
  <c r="G64" i="2" s="1"/>
  <c r="A7" i="40"/>
  <c r="A4" i="40"/>
  <c r="A3" i="40"/>
  <c r="D30" i="40"/>
  <c r="D23" i="40"/>
  <c r="D18" i="40"/>
  <c r="D20" i="40" s="1"/>
  <c r="A12" i="40"/>
  <c r="A15" i="40" s="1"/>
  <c r="A16" i="40" s="1"/>
  <c r="A17" i="40" s="1"/>
  <c r="A18" i="40" s="1"/>
  <c r="A19" i="40" s="1"/>
  <c r="A20" i="40" s="1"/>
  <c r="A21" i="40" s="1"/>
  <c r="A22" i="40" s="1"/>
  <c r="A23" i="40" s="1"/>
  <c r="A26" i="40" s="1"/>
  <c r="B48" i="39"/>
  <c r="A4" i="39"/>
  <c r="B60" i="39" s="1"/>
  <c r="A1" i="39"/>
  <c r="C62" i="39"/>
  <c r="Q10" i="37"/>
  <c r="M10" i="37"/>
  <c r="F13" i="37"/>
  <c r="E13" i="37"/>
  <c r="D13" i="37"/>
  <c r="C13" i="37"/>
  <c r="B3" i="37"/>
  <c r="Q10" i="36"/>
  <c r="M10" i="36"/>
  <c r="C13" i="36"/>
  <c r="F13" i="36"/>
  <c r="D13" i="36"/>
  <c r="E13" i="36"/>
  <c r="B3" i="36"/>
  <c r="A1" i="38"/>
  <c r="F67" i="38"/>
  <c r="E67" i="38"/>
  <c r="D67" i="38"/>
  <c r="L240" i="2"/>
  <c r="F68" i="39"/>
  <c r="E68" i="39"/>
  <c r="D68" i="39"/>
  <c r="C68" i="39"/>
  <c r="E50" i="39" s="1"/>
  <c r="E55" i="39" s="1"/>
  <c r="L239" i="2" s="1"/>
  <c r="A11" i="39"/>
  <c r="A12" i="39" s="1"/>
  <c r="A13" i="39" s="1"/>
  <c r="A14" i="39" s="1"/>
  <c r="A15" i="39" s="1"/>
  <c r="A16" i="39" s="1"/>
  <c r="A17" i="39" s="1"/>
  <c r="A18" i="39" s="1"/>
  <c r="A19" i="39" s="1"/>
  <c r="A20" i="39" s="1"/>
  <c r="A21" i="39" s="1"/>
  <c r="A22" i="39" s="1"/>
  <c r="A23" i="39" s="1"/>
  <c r="B74" i="39" s="1"/>
  <c r="A2" i="39"/>
  <c r="B6" i="14"/>
  <c r="A6" i="20"/>
  <c r="I77" i="20" s="1"/>
  <c r="A6" i="31"/>
  <c r="A6" i="11"/>
  <c r="A6" i="10"/>
  <c r="A6" i="9"/>
  <c r="A6" i="8"/>
  <c r="B36" i="8" s="1"/>
  <c r="A6" i="7"/>
  <c r="B26" i="7" s="1"/>
  <c r="A6" i="6"/>
  <c r="A6" i="5"/>
  <c r="A4" i="38"/>
  <c r="Q27" i="21"/>
  <c r="Q22" i="21"/>
  <c r="Q17" i="21"/>
  <c r="F28" i="38"/>
  <c r="D28" i="38"/>
  <c r="A69" i="38"/>
  <c r="A71" i="38" s="1"/>
  <c r="A75" i="38" s="1"/>
  <c r="A76" i="38" s="1"/>
  <c r="A77" i="38" s="1"/>
  <c r="A78" i="38" s="1"/>
  <c r="A79" i="38" s="1"/>
  <c r="A80" i="38" s="1"/>
  <c r="E87" i="38"/>
  <c r="D87" i="38"/>
  <c r="F86" i="38"/>
  <c r="F85" i="38"/>
  <c r="E80" i="38"/>
  <c r="D80" i="38"/>
  <c r="F79" i="38"/>
  <c r="F78" i="38"/>
  <c r="F77" i="38"/>
  <c r="F76" i="38"/>
  <c r="F75" i="38"/>
  <c r="F71" i="38"/>
  <c r="L98" i="2" s="1"/>
  <c r="F69" i="38"/>
  <c r="G98" i="2" s="1"/>
  <c r="A11" i="38"/>
  <c r="A12" i="38" s="1"/>
  <c r="A13" i="38" s="1"/>
  <c r="A14" i="38" s="1"/>
  <c r="A15" i="38" s="1"/>
  <c r="A16" i="38" s="1"/>
  <c r="A17" i="38" s="1"/>
  <c r="A18" i="38" s="1"/>
  <c r="A19" i="38" s="1"/>
  <c r="A20" i="38" s="1"/>
  <c r="A21" i="38" s="1"/>
  <c r="A22" i="38" s="1"/>
  <c r="A23" i="38" s="1"/>
  <c r="A2" i="38"/>
  <c r="E40" i="31"/>
  <c r="E23" i="11" s="1"/>
  <c r="G23" i="11" s="1"/>
  <c r="I41" i="31"/>
  <c r="I40" i="31" s="1"/>
  <c r="I39" i="31"/>
  <c r="I38" i="31"/>
  <c r="I36" i="31"/>
  <c r="I35" i="31"/>
  <c r="I34" i="31"/>
  <c r="I33" i="31"/>
  <c r="I32" i="31"/>
  <c r="I31" i="31"/>
  <c r="I25" i="31"/>
  <c r="I26" i="31"/>
  <c r="I27" i="31"/>
  <c r="I28" i="31"/>
  <c r="I29" i="31"/>
  <c r="I24" i="31"/>
  <c r="D43" i="5"/>
  <c r="D42" i="5"/>
  <c r="D27" i="5"/>
  <c r="D19" i="5"/>
  <c r="B1" i="37"/>
  <c r="B1" i="36"/>
  <c r="S84" i="36"/>
  <c r="R84" i="36"/>
  <c r="E52" i="5" s="1"/>
  <c r="Q84" i="36"/>
  <c r="O84" i="36"/>
  <c r="N84" i="36"/>
  <c r="G52" i="5" s="1"/>
  <c r="M84" i="36"/>
  <c r="F84" i="36"/>
  <c r="E84" i="36"/>
  <c r="K82" i="36"/>
  <c r="J82" i="36"/>
  <c r="I82" i="36"/>
  <c r="D82" i="36"/>
  <c r="C82" i="36"/>
  <c r="K81" i="36"/>
  <c r="J81" i="36"/>
  <c r="I81" i="36"/>
  <c r="D81" i="36"/>
  <c r="C81" i="36"/>
  <c r="K67" i="36"/>
  <c r="J67" i="36"/>
  <c r="I67" i="36"/>
  <c r="D67" i="36"/>
  <c r="C67" i="36"/>
  <c r="A67" i="36"/>
  <c r="A70" i="36" s="1"/>
  <c r="D35" i="5" s="1"/>
  <c r="S64" i="36"/>
  <c r="S70" i="36" s="1"/>
  <c r="R64" i="36"/>
  <c r="R70" i="36" s="1"/>
  <c r="Q64" i="36"/>
  <c r="Q70" i="36" s="1"/>
  <c r="O64" i="36"/>
  <c r="O70" i="36" s="1"/>
  <c r="N70" i="36"/>
  <c r="M64" i="36"/>
  <c r="M70" i="36" s="1"/>
  <c r="F64" i="36"/>
  <c r="E64" i="36"/>
  <c r="G61" i="36"/>
  <c r="G60" i="36"/>
  <c r="A50" i="36"/>
  <c r="D26" i="5" s="1"/>
  <c r="S49" i="36"/>
  <c r="R49" i="36"/>
  <c r="Q49" i="36"/>
  <c r="O49" i="36"/>
  <c r="M49" i="36"/>
  <c r="F49" i="36"/>
  <c r="E49" i="36"/>
  <c r="A24" i="36"/>
  <c r="D18" i="5" s="1"/>
  <c r="S23" i="36"/>
  <c r="R23" i="36"/>
  <c r="Q23" i="36"/>
  <c r="O23" i="36"/>
  <c r="N23" i="36"/>
  <c r="M23" i="36"/>
  <c r="F21" i="36"/>
  <c r="E21" i="36"/>
  <c r="F20" i="36"/>
  <c r="E20" i="36"/>
  <c r="F19" i="36"/>
  <c r="E19" i="36"/>
  <c r="K17" i="36"/>
  <c r="K23" i="36" s="1"/>
  <c r="J17" i="36"/>
  <c r="J23" i="36" s="1"/>
  <c r="I17" i="36"/>
  <c r="I23" i="36" s="1"/>
  <c r="D17" i="36"/>
  <c r="D23" i="36" s="1"/>
  <c r="C17" i="36"/>
  <c r="C23" i="36" s="1"/>
  <c r="B21" i="7"/>
  <c r="B11" i="7"/>
  <c r="K27" i="8"/>
  <c r="K31" i="8" s="1"/>
  <c r="G15" i="2" s="1"/>
  <c r="L15" i="2" s="1"/>
  <c r="I27" i="8"/>
  <c r="I31" i="8" s="1"/>
  <c r="E68" i="9"/>
  <c r="G10" i="5"/>
  <c r="E10" i="5"/>
  <c r="C9" i="7"/>
  <c r="D12" i="9"/>
  <c r="E17" i="2"/>
  <c r="A91" i="34"/>
  <c r="M54" i="11"/>
  <c r="I12" i="6"/>
  <c r="G12" i="6"/>
  <c r="I10" i="5"/>
  <c r="D101" i="20"/>
  <c r="C101" i="20"/>
  <c r="C102" i="20" s="1"/>
  <c r="C103" i="20" s="1"/>
  <c r="C104" i="20" s="1"/>
  <c r="C105" i="20" s="1"/>
  <c r="C106" i="20" s="1"/>
  <c r="C107" i="20" s="1"/>
  <c r="C108" i="20" s="1"/>
  <c r="C109" i="20" s="1"/>
  <c r="C110" i="20" s="1"/>
  <c r="C111" i="20" s="1"/>
  <c r="C112" i="20" s="1"/>
  <c r="C113" i="20" s="1"/>
  <c r="C114" i="20" s="1"/>
  <c r="C115" i="20" s="1"/>
  <c r="C116" i="20" s="1"/>
  <c r="C117" i="20" s="1"/>
  <c r="C118" i="20" s="1"/>
  <c r="C119" i="20" s="1"/>
  <c r="C120" i="20" s="1"/>
  <c r="C121" i="20" s="1"/>
  <c r="C122" i="20" s="1"/>
  <c r="C123" i="20" s="1"/>
  <c r="C124" i="20" s="1"/>
  <c r="C125" i="20" s="1"/>
  <c r="C126" i="20" s="1"/>
  <c r="C127" i="20" s="1"/>
  <c r="C128" i="20" s="1"/>
  <c r="C129" i="20" s="1"/>
  <c r="C130" i="20" s="1"/>
  <c r="C131" i="20" s="1"/>
  <c r="C132" i="20" s="1"/>
  <c r="C133" i="20" s="1"/>
  <c r="C134" i="20" s="1"/>
  <c r="C135" i="20" s="1"/>
  <c r="C136" i="20" s="1"/>
  <c r="C137" i="20" s="1"/>
  <c r="C138" i="20" s="1"/>
  <c r="C139" i="20" s="1"/>
  <c r="C140" i="20" s="1"/>
  <c r="C141" i="20" s="1"/>
  <c r="C142" i="20" s="1"/>
  <c r="C143" i="20" s="1"/>
  <c r="C144" i="20" s="1"/>
  <c r="C145" i="20" s="1"/>
  <c r="C146" i="20" s="1"/>
  <c r="C147" i="20" s="1"/>
  <c r="C148" i="20" s="1"/>
  <c r="C149" i="20" s="1"/>
  <c r="C150" i="20" s="1"/>
  <c r="C151" i="20" s="1"/>
  <c r="C152" i="20" s="1"/>
  <c r="C153" i="20" s="1"/>
  <c r="C154" i="20" s="1"/>
  <c r="C155" i="20" s="1"/>
  <c r="C156" i="20" s="1"/>
  <c r="C157" i="20" s="1"/>
  <c r="C158" i="20" s="1"/>
  <c r="C159" i="20" s="1"/>
  <c r="C160" i="20" s="1"/>
  <c r="K96" i="20"/>
  <c r="I95" i="20"/>
  <c r="E38" i="11"/>
  <c r="K38" i="11" s="1"/>
  <c r="D313" i="2"/>
  <c r="C60" i="20"/>
  <c r="A4" i="34"/>
  <c r="C47" i="20"/>
  <c r="D63" i="6"/>
  <c r="B61" i="6" s="1"/>
  <c r="D38" i="6"/>
  <c r="B36" i="6" s="1"/>
  <c r="C31" i="6"/>
  <c r="C32" i="6"/>
  <c r="L17" i="2"/>
  <c r="A4" i="21"/>
  <c r="B4" i="14"/>
  <c r="A4" i="20"/>
  <c r="F16" i="20"/>
  <c r="F18" i="20" s="1"/>
  <c r="E23" i="20" s="1"/>
  <c r="A4" i="12"/>
  <c r="A4" i="31"/>
  <c r="A4" i="11"/>
  <c r="A4" i="10"/>
  <c r="A4" i="9"/>
  <c r="A4" i="8"/>
  <c r="A4" i="7"/>
  <c r="A4" i="6"/>
  <c r="E12" i="6"/>
  <c r="A4" i="5"/>
  <c r="J157" i="2"/>
  <c r="L157" i="2" s="1"/>
  <c r="F7" i="2"/>
  <c r="F53" i="2" s="1"/>
  <c r="F123" i="2" s="1"/>
  <c r="F204" i="2" s="1"/>
  <c r="F275" i="2" s="1"/>
  <c r="C112" i="34"/>
  <c r="J24" i="34"/>
  <c r="E198" i="34"/>
  <c r="E186" i="34"/>
  <c r="G82" i="6"/>
  <c r="G32" i="6" s="1"/>
  <c r="H229" i="2"/>
  <c r="A17" i="11"/>
  <c r="A19" i="11" s="1"/>
  <c r="A20" i="11" s="1"/>
  <c r="A21" i="11" s="1"/>
  <c r="A22" i="11" s="1"/>
  <c r="A23" i="11" s="1"/>
  <c r="A25" i="11" s="1"/>
  <c r="A26" i="11" s="1"/>
  <c r="A27" i="11" s="1"/>
  <c r="A28" i="11" s="1"/>
  <c r="A30" i="11" s="1"/>
  <c r="A31" i="11" s="1"/>
  <c r="A33" i="11" s="1"/>
  <c r="A34" i="11" s="1"/>
  <c r="A35" i="11" s="1"/>
  <c r="A36" i="11" s="1"/>
  <c r="A37" i="11" s="1"/>
  <c r="A38" i="11" s="1"/>
  <c r="A39" i="11" s="1"/>
  <c r="A40" i="11" s="1"/>
  <c r="A41" i="11" s="1"/>
  <c r="A43" i="11" s="1"/>
  <c r="E51" i="11"/>
  <c r="E53" i="11" s="1"/>
  <c r="E55" i="11" s="1"/>
  <c r="I51" i="11"/>
  <c r="E66" i="11"/>
  <c r="E56" i="11"/>
  <c r="I66" i="11"/>
  <c r="I56" i="11"/>
  <c r="C50" i="11"/>
  <c r="M41" i="11"/>
  <c r="L229" i="2"/>
  <c r="L232" i="2"/>
  <c r="C31" i="34"/>
  <c r="C37" i="34"/>
  <c r="C38" i="34" s="1"/>
  <c r="C43" i="34"/>
  <c r="C49" i="34"/>
  <c r="C50" i="34" s="1"/>
  <c r="E31" i="34"/>
  <c r="E32" i="34" s="1"/>
  <c r="E37" i="34"/>
  <c r="E43" i="34"/>
  <c r="E44" i="34" s="1"/>
  <c r="E49" i="34"/>
  <c r="E50" i="34" s="1"/>
  <c r="F31" i="34"/>
  <c r="F37" i="34"/>
  <c r="F38" i="34" s="1"/>
  <c r="F43" i="34"/>
  <c r="F44" i="34" s="1"/>
  <c r="F49" i="34"/>
  <c r="F50" i="34" s="1"/>
  <c r="G31" i="34"/>
  <c r="G32" i="34" s="1"/>
  <c r="G37" i="34"/>
  <c r="G38" i="34" s="1"/>
  <c r="G43" i="34"/>
  <c r="G49" i="34"/>
  <c r="G50" i="34" s="1"/>
  <c r="H31" i="34"/>
  <c r="H32" i="34" s="1"/>
  <c r="H37" i="34"/>
  <c r="H43" i="34"/>
  <c r="H44" i="34" s="1"/>
  <c r="H49" i="34"/>
  <c r="H50" i="34" s="1"/>
  <c r="I31" i="34"/>
  <c r="I32" i="34" s="1"/>
  <c r="I37" i="34"/>
  <c r="I38" i="34" s="1"/>
  <c r="I43" i="34"/>
  <c r="I44" i="34" s="1"/>
  <c r="I49" i="34"/>
  <c r="I50" i="34" s="1"/>
  <c r="C14" i="34"/>
  <c r="C63" i="34" s="1"/>
  <c r="J10" i="34"/>
  <c r="J9" i="34"/>
  <c r="J11" i="34"/>
  <c r="J13" i="34"/>
  <c r="J56" i="34"/>
  <c r="J58" i="34"/>
  <c r="J59" i="34"/>
  <c r="F14" i="34"/>
  <c r="F63" i="34" s="1"/>
  <c r="G14" i="34"/>
  <c r="G63" i="34" s="1"/>
  <c r="H14" i="34"/>
  <c r="H63" i="34" s="1"/>
  <c r="I14" i="34"/>
  <c r="I63" i="34" s="1"/>
  <c r="J19" i="34"/>
  <c r="J20" i="34"/>
  <c r="J21" i="34"/>
  <c r="J22" i="34"/>
  <c r="J23" i="34"/>
  <c r="F233" i="2"/>
  <c r="G233" i="2"/>
  <c r="G58" i="6"/>
  <c r="G31" i="6" s="1"/>
  <c r="C21" i="7"/>
  <c r="C23" i="7" s="1"/>
  <c r="G116" i="2" s="1"/>
  <c r="L116" i="2" s="1"/>
  <c r="O17" i="21"/>
  <c r="O22" i="21"/>
  <c r="O27" i="21"/>
  <c r="E50" i="31"/>
  <c r="E26" i="11" s="1"/>
  <c r="I26" i="11" s="1"/>
  <c r="E52" i="31"/>
  <c r="E27" i="11" s="1"/>
  <c r="I27" i="11" s="1"/>
  <c r="E54" i="31"/>
  <c r="E28" i="11" s="1"/>
  <c r="I28" i="11" s="1"/>
  <c r="E37" i="31"/>
  <c r="E22" i="11" s="1"/>
  <c r="G22" i="11" s="1"/>
  <c r="E23" i="31"/>
  <c r="E20" i="11" s="1"/>
  <c r="G20" i="11" s="1"/>
  <c r="E30" i="31"/>
  <c r="E21" i="11" s="1"/>
  <c r="G21" i="11" s="1"/>
  <c r="E14" i="31"/>
  <c r="E59" i="31"/>
  <c r="E31" i="11" s="1"/>
  <c r="M31" i="11" s="1"/>
  <c r="E62" i="31"/>
  <c r="E34" i="11" s="1"/>
  <c r="M34" i="11" s="1"/>
  <c r="E90" i="31"/>
  <c r="E39" i="11" s="1"/>
  <c r="M39" i="11" s="1"/>
  <c r="E96" i="31"/>
  <c r="E40" i="11" s="1"/>
  <c r="M40" i="11" s="1"/>
  <c r="E65" i="31"/>
  <c r="E35" i="11" s="1"/>
  <c r="K35" i="11" s="1"/>
  <c r="E69" i="31"/>
  <c r="E36" i="11" s="1"/>
  <c r="K36" i="11" s="1"/>
  <c r="E81" i="31"/>
  <c r="E37" i="11" s="1"/>
  <c r="K37" i="11" s="1"/>
  <c r="G149" i="2"/>
  <c r="G150" i="2"/>
  <c r="A10" i="34"/>
  <c r="A11" i="34" s="1"/>
  <c r="A12" i="34" s="1"/>
  <c r="A13" i="34" s="1"/>
  <c r="A14" i="34" s="1"/>
  <c r="E139" i="2"/>
  <c r="F118" i="34"/>
  <c r="F119" i="34" s="1"/>
  <c r="F124" i="34"/>
  <c r="F125" i="34" s="1"/>
  <c r="F130" i="34"/>
  <c r="F131" i="34" s="1"/>
  <c r="F136" i="34"/>
  <c r="F137" i="34" s="1"/>
  <c r="F183" i="34"/>
  <c r="F184" i="34"/>
  <c r="F185" i="34"/>
  <c r="F186" i="34"/>
  <c r="F187" i="34"/>
  <c r="F206" i="34"/>
  <c r="F208" i="34"/>
  <c r="F209" i="34"/>
  <c r="F193" i="34"/>
  <c r="F194" i="34"/>
  <c r="F195" i="34"/>
  <c r="F196" i="34"/>
  <c r="F197" i="34"/>
  <c r="F198" i="34"/>
  <c r="E118" i="34"/>
  <c r="E119" i="34" s="1"/>
  <c r="E124" i="34"/>
  <c r="E125" i="34" s="1"/>
  <c r="E130" i="34"/>
  <c r="E131" i="34" s="1"/>
  <c r="E136" i="34"/>
  <c r="E137" i="34" s="1"/>
  <c r="G118" i="34"/>
  <c r="G119" i="34" s="1"/>
  <c r="G124" i="34"/>
  <c r="G125" i="34" s="1"/>
  <c r="G130" i="34"/>
  <c r="G131" i="34" s="1"/>
  <c r="G136" i="34"/>
  <c r="G137" i="34" s="1"/>
  <c r="H118" i="34"/>
  <c r="H119" i="34" s="1"/>
  <c r="H124" i="34"/>
  <c r="H125" i="34" s="1"/>
  <c r="H130" i="34"/>
  <c r="H131" i="34" s="1"/>
  <c r="H136" i="34"/>
  <c r="H137" i="34" s="1"/>
  <c r="I118" i="34"/>
  <c r="I119" i="34" s="1"/>
  <c r="I124" i="34"/>
  <c r="I125" i="34" s="1"/>
  <c r="I130" i="34"/>
  <c r="I131" i="34" s="1"/>
  <c r="I136" i="34"/>
  <c r="I137" i="34" s="1"/>
  <c r="C118" i="34"/>
  <c r="C124" i="34"/>
  <c r="C125" i="34" s="1"/>
  <c r="C130" i="34"/>
  <c r="C131" i="34" s="1"/>
  <c r="C136" i="34"/>
  <c r="C137" i="34" s="1"/>
  <c r="A201" i="34"/>
  <c r="E194" i="34"/>
  <c r="G194" i="34"/>
  <c r="H194" i="34"/>
  <c r="I194" i="34"/>
  <c r="E195" i="34"/>
  <c r="G195" i="34"/>
  <c r="H195" i="34"/>
  <c r="I195" i="34"/>
  <c r="E196" i="34"/>
  <c r="G196" i="34"/>
  <c r="H196" i="34"/>
  <c r="I196" i="34"/>
  <c r="E197" i="34"/>
  <c r="G197" i="34"/>
  <c r="H197" i="34"/>
  <c r="I197" i="34"/>
  <c r="G198" i="34"/>
  <c r="H198" i="34"/>
  <c r="I198" i="34"/>
  <c r="E193" i="34"/>
  <c r="G193" i="34"/>
  <c r="H193" i="34"/>
  <c r="I193" i="34"/>
  <c r="C197" i="34"/>
  <c r="C195" i="34"/>
  <c r="C196" i="34"/>
  <c r="C194" i="34"/>
  <c r="C193" i="34"/>
  <c r="B199" i="34"/>
  <c r="B196" i="34"/>
  <c r="B197" i="34"/>
  <c r="B198" i="34"/>
  <c r="B194" i="34"/>
  <c r="B195" i="34"/>
  <c r="A192" i="34"/>
  <c r="B193" i="34"/>
  <c r="B9" i="32"/>
  <c r="B3" i="32"/>
  <c r="A13" i="10"/>
  <c r="A17" i="10" s="1"/>
  <c r="A21" i="10" s="1"/>
  <c r="A25" i="10" s="1"/>
  <c r="C183" i="34"/>
  <c r="J183" i="34" s="1"/>
  <c r="E183" i="34"/>
  <c r="G183" i="34"/>
  <c r="H183" i="34"/>
  <c r="I183" i="34"/>
  <c r="C184" i="34"/>
  <c r="J184" i="34" s="1"/>
  <c r="E184" i="34"/>
  <c r="G184" i="34"/>
  <c r="H184" i="34"/>
  <c r="I184" i="34"/>
  <c r="C185" i="34"/>
  <c r="E185" i="34"/>
  <c r="G185" i="34"/>
  <c r="H185" i="34"/>
  <c r="I185" i="34"/>
  <c r="C186" i="34"/>
  <c r="J186" i="34" s="1"/>
  <c r="G186" i="34"/>
  <c r="H186" i="34"/>
  <c r="I186" i="34"/>
  <c r="C187" i="34"/>
  <c r="J187" i="34" s="1"/>
  <c r="E187" i="34"/>
  <c r="G187" i="34"/>
  <c r="H187" i="34"/>
  <c r="I187" i="34"/>
  <c r="C206" i="34"/>
  <c r="J206" i="34" s="1"/>
  <c r="L260" i="2" s="1"/>
  <c r="E206" i="34"/>
  <c r="G206" i="34"/>
  <c r="H206" i="34"/>
  <c r="I206" i="34"/>
  <c r="C208" i="34"/>
  <c r="J208" i="34" s="1"/>
  <c r="L262" i="2" s="1"/>
  <c r="E208" i="34"/>
  <c r="G208" i="34"/>
  <c r="H208" i="34"/>
  <c r="I208" i="34"/>
  <c r="C209" i="34"/>
  <c r="J209" i="34" s="1"/>
  <c r="L263" i="2" s="1"/>
  <c r="E209" i="34"/>
  <c r="G209" i="34"/>
  <c r="H209" i="34"/>
  <c r="I209" i="34"/>
  <c r="J96" i="34"/>
  <c r="J97" i="34"/>
  <c r="J98" i="34"/>
  <c r="J99" i="34"/>
  <c r="J100" i="34"/>
  <c r="J143" i="34"/>
  <c r="J145" i="34"/>
  <c r="J146" i="34"/>
  <c r="A6" i="12"/>
  <c r="F25" i="34"/>
  <c r="G25" i="34"/>
  <c r="H25" i="34"/>
  <c r="I25" i="34"/>
  <c r="C101" i="34"/>
  <c r="C150" i="34" s="1"/>
  <c r="E101" i="34"/>
  <c r="E150" i="34" s="1"/>
  <c r="F101" i="34"/>
  <c r="G101" i="34"/>
  <c r="G150" i="34" s="1"/>
  <c r="H101" i="34"/>
  <c r="H150" i="34" s="1"/>
  <c r="I101" i="34"/>
  <c r="I150" i="34" s="1"/>
  <c r="J106" i="34"/>
  <c r="J107" i="34"/>
  <c r="J108" i="34"/>
  <c r="J109" i="34"/>
  <c r="J110" i="34"/>
  <c r="J111" i="34"/>
  <c r="E112" i="34"/>
  <c r="F112" i="34"/>
  <c r="G112" i="34"/>
  <c r="H112" i="34"/>
  <c r="I112" i="34"/>
  <c r="O3" i="21"/>
  <c r="N3" i="21"/>
  <c r="M3" i="21"/>
  <c r="L3" i="21"/>
  <c r="K3" i="21"/>
  <c r="J3" i="21"/>
  <c r="I3" i="21"/>
  <c r="H3" i="21"/>
  <c r="G3" i="21"/>
  <c r="F3" i="21"/>
  <c r="E3" i="21"/>
  <c r="D3" i="21"/>
  <c r="C3" i="21"/>
  <c r="B3" i="21"/>
  <c r="A3" i="21"/>
  <c r="E3" i="14"/>
  <c r="D3" i="14"/>
  <c r="C3" i="14"/>
  <c r="B3" i="14"/>
  <c r="O3" i="20"/>
  <c r="N3" i="20"/>
  <c r="M3" i="20"/>
  <c r="L3" i="20"/>
  <c r="K3" i="20"/>
  <c r="J3" i="20"/>
  <c r="I3" i="20"/>
  <c r="H3" i="20"/>
  <c r="G3" i="20"/>
  <c r="F3" i="20"/>
  <c r="E3" i="20"/>
  <c r="D3" i="20"/>
  <c r="C3" i="20"/>
  <c r="B3" i="20"/>
  <c r="A3" i="20"/>
  <c r="J3" i="12"/>
  <c r="I3" i="12"/>
  <c r="H3" i="12"/>
  <c r="G3" i="12"/>
  <c r="F3" i="12"/>
  <c r="E3" i="12"/>
  <c r="D3" i="12"/>
  <c r="C3" i="12"/>
  <c r="B3" i="12"/>
  <c r="A3" i="12"/>
  <c r="E3" i="31"/>
  <c r="D3" i="31"/>
  <c r="C3" i="31"/>
  <c r="B3" i="31"/>
  <c r="A3" i="31"/>
  <c r="M3" i="11"/>
  <c r="L3" i="11"/>
  <c r="K3" i="11"/>
  <c r="J3" i="11"/>
  <c r="I3" i="11"/>
  <c r="H3" i="11"/>
  <c r="G3" i="11"/>
  <c r="F3" i="11"/>
  <c r="E3" i="11"/>
  <c r="D3" i="11"/>
  <c r="C3" i="11"/>
  <c r="B3" i="11"/>
  <c r="A3" i="11"/>
  <c r="H3" i="10"/>
  <c r="G3" i="10"/>
  <c r="F3" i="10"/>
  <c r="E3" i="10"/>
  <c r="D3" i="10"/>
  <c r="C3" i="10"/>
  <c r="B3" i="10"/>
  <c r="A3" i="10"/>
  <c r="G3" i="9"/>
  <c r="F3" i="9"/>
  <c r="E3" i="9"/>
  <c r="D3" i="9"/>
  <c r="C3" i="9"/>
  <c r="B3" i="9"/>
  <c r="A3" i="9"/>
  <c r="K3" i="8"/>
  <c r="J3" i="8"/>
  <c r="I3" i="8"/>
  <c r="H3" i="8"/>
  <c r="G3" i="8"/>
  <c r="F3" i="8"/>
  <c r="E3" i="8"/>
  <c r="D3" i="8"/>
  <c r="C3" i="8"/>
  <c r="B3" i="8"/>
  <c r="A3" i="8"/>
  <c r="E3" i="7"/>
  <c r="D3" i="7"/>
  <c r="C3" i="7"/>
  <c r="B3" i="7"/>
  <c r="A3" i="7"/>
  <c r="L3" i="6"/>
  <c r="K3" i="6"/>
  <c r="J3" i="6"/>
  <c r="I3" i="6"/>
  <c r="H3" i="6"/>
  <c r="G3" i="6"/>
  <c r="F3" i="6"/>
  <c r="E3" i="6"/>
  <c r="D3" i="6"/>
  <c r="C3" i="6"/>
  <c r="B3" i="6"/>
  <c r="A3" i="6"/>
  <c r="I3" i="5"/>
  <c r="H3" i="5"/>
  <c r="G3" i="5"/>
  <c r="F3" i="5"/>
  <c r="E3" i="5"/>
  <c r="D3" i="5"/>
  <c r="C3" i="5"/>
  <c r="B3" i="5"/>
  <c r="A3" i="5"/>
  <c r="I17" i="6"/>
  <c r="G106" i="2" s="1"/>
  <c r="I21" i="6"/>
  <c r="G108" i="2" s="1"/>
  <c r="I23" i="6"/>
  <c r="G109" i="2" s="1"/>
  <c r="G193" i="2"/>
  <c r="L193" i="2" s="1"/>
  <c r="G139" i="2"/>
  <c r="G148" i="2"/>
  <c r="F102" i="31"/>
  <c r="E99" i="31"/>
  <c r="A14" i="31"/>
  <c r="A22" i="31" s="1"/>
  <c r="A23" i="31" s="1"/>
  <c r="A30" i="31" s="1"/>
  <c r="I50" i="5"/>
  <c r="K33" i="21"/>
  <c r="A22" i="21"/>
  <c r="A27" i="21" s="1"/>
  <c r="A33" i="21" s="1"/>
  <c r="D195" i="2" s="1"/>
  <c r="A6" i="21"/>
  <c r="L26" i="20"/>
  <c r="I362" i="20" s="1"/>
  <c r="O8" i="20"/>
  <c r="C11" i="20"/>
  <c r="C14" i="20"/>
  <c r="C18" i="20"/>
  <c r="C26" i="20"/>
  <c r="C32" i="20"/>
  <c r="C42" i="20"/>
  <c r="C43" i="20"/>
  <c r="C53" i="20"/>
  <c r="C55" i="20"/>
  <c r="C58" i="20"/>
  <c r="C62" i="20"/>
  <c r="C65" i="20"/>
  <c r="C66" i="20"/>
  <c r="C68" i="20"/>
  <c r="C69" i="20"/>
  <c r="C71" i="20"/>
  <c r="N82" i="20"/>
  <c r="O82" i="20"/>
  <c r="H228" i="2"/>
  <c r="J13" i="8"/>
  <c r="A15" i="8"/>
  <c r="A17" i="8" s="1"/>
  <c r="J15" i="8"/>
  <c r="A27" i="8"/>
  <c r="A29" i="8" s="1"/>
  <c r="A31" i="8" s="1"/>
  <c r="E15" i="2" s="1"/>
  <c r="J17" i="8"/>
  <c r="J19" i="8"/>
  <c r="J29" i="8"/>
  <c r="A15" i="7"/>
  <c r="A17" i="7" s="1"/>
  <c r="A18" i="7" s="1"/>
  <c r="A19" i="7" s="1"/>
  <c r="A21" i="7" s="1"/>
  <c r="A17" i="6"/>
  <c r="A21" i="6" s="1"/>
  <c r="A17" i="5"/>
  <c r="A18" i="5" s="1"/>
  <c r="A19" i="5" s="1"/>
  <c r="A20" i="5" s="1"/>
  <c r="F51" i="2"/>
  <c r="F121" i="2" s="1"/>
  <c r="F202" i="2" s="1"/>
  <c r="F273" i="2" s="1"/>
  <c r="F52" i="2"/>
  <c r="F122" i="2" s="1"/>
  <c r="F203" i="2" s="1"/>
  <c r="F274" i="2" s="1"/>
  <c r="F55" i="2"/>
  <c r="F125" i="2" s="1"/>
  <c r="F206" i="2" s="1"/>
  <c r="F277" i="2" s="1"/>
  <c r="B61" i="2"/>
  <c r="B131" i="2" s="1"/>
  <c r="B62" i="2"/>
  <c r="B132" i="2" s="1"/>
  <c r="D73" i="2"/>
  <c r="D83" i="2" s="1"/>
  <c r="D75" i="2"/>
  <c r="D84" i="2" s="1"/>
  <c r="D77" i="2"/>
  <c r="D85" i="2" s="1"/>
  <c r="E129" i="2"/>
  <c r="L129" i="2"/>
  <c r="E130" i="2"/>
  <c r="G130" i="2"/>
  <c r="I130" i="2"/>
  <c r="L130" i="2"/>
  <c r="D161" i="2"/>
  <c r="H232" i="2"/>
  <c r="B15" i="2"/>
  <c r="B17" i="2" s="1"/>
  <c r="B18" i="2" s="1"/>
  <c r="B24" i="2" s="1"/>
  <c r="B26" i="2" s="1"/>
  <c r="B27" i="2" s="1"/>
  <c r="E25" i="34"/>
  <c r="E14" i="34"/>
  <c r="E63" i="34" s="1"/>
  <c r="J12" i="34"/>
  <c r="C25" i="34"/>
  <c r="C198" i="34"/>
  <c r="D58" i="6"/>
  <c r="D31" i="6" s="1"/>
  <c r="D82" i="6"/>
  <c r="D32" i="6" s="1"/>
  <c r="E23" i="39"/>
  <c r="D23" i="39"/>
  <c r="G42" i="39"/>
  <c r="D42" i="39"/>
  <c r="C42" i="39"/>
  <c r="F23" i="39"/>
  <c r="E137" i="2"/>
  <c r="E67" i="9"/>
  <c r="H37" i="39"/>
  <c r="H29" i="39"/>
  <c r="I34" i="5"/>
  <c r="H30" i="39"/>
  <c r="O361" i="13"/>
  <c r="M361" i="13"/>
  <c r="P100" i="13"/>
  <c r="P101" i="13"/>
  <c r="P102" i="13"/>
  <c r="P103" i="13"/>
  <c r="F73" i="9"/>
  <c r="G151" i="2" s="1"/>
  <c r="D73" i="9"/>
  <c r="G146" i="2" s="1"/>
  <c r="G147" i="2" s="1"/>
  <c r="E23" i="38"/>
  <c r="G65" i="2" s="1"/>
  <c r="C23" i="38"/>
  <c r="G63" i="2" s="1"/>
  <c r="G136" i="2"/>
  <c r="H36" i="39"/>
  <c r="J58" i="6"/>
  <c r="J31" i="6" s="1"/>
  <c r="M883" i="13"/>
  <c r="O883" i="13"/>
  <c r="O884" i="13"/>
  <c r="M884" i="13"/>
  <c r="I82" i="6"/>
  <c r="I32" i="6" s="1"/>
  <c r="C51" i="37" l="1"/>
  <c r="E74" i="39"/>
  <c r="E76" i="39" s="1"/>
  <c r="L244" i="2"/>
  <c r="L245" i="2"/>
  <c r="G70" i="2"/>
  <c r="E64" i="2"/>
  <c r="E69" i="2"/>
  <c r="E68" i="2"/>
  <c r="G80" i="2"/>
  <c r="A55" i="36"/>
  <c r="A56" i="36" s="1"/>
  <c r="A57" i="36" s="1"/>
  <c r="A58" i="36" s="1"/>
  <c r="A59" i="36" s="1"/>
  <c r="A60" i="36" s="1"/>
  <c r="G58" i="36"/>
  <c r="G59" i="36"/>
  <c r="G47" i="37"/>
  <c r="E243" i="2"/>
  <c r="N697" i="13"/>
  <c r="G79" i="34"/>
  <c r="E61" i="11"/>
  <c r="E63" i="11" s="1"/>
  <c r="E65" i="11" s="1"/>
  <c r="J54" i="35"/>
  <c r="A81" i="13"/>
  <c r="F79" i="34"/>
  <c r="E242" i="2"/>
  <c r="G17" i="36"/>
  <c r="I166" i="34"/>
  <c r="H79" i="34"/>
  <c r="I84" i="36"/>
  <c r="G20" i="36"/>
  <c r="E245" i="2"/>
  <c r="I21" i="35"/>
  <c r="L21" i="35" s="1"/>
  <c r="A82" i="20"/>
  <c r="G46" i="37"/>
  <c r="G21" i="36"/>
  <c r="F70" i="36"/>
  <c r="E98" i="2"/>
  <c r="I79" i="34"/>
  <c r="M349" i="13"/>
  <c r="F139" i="34"/>
  <c r="F151" i="34" s="1"/>
  <c r="E199" i="34"/>
  <c r="J196" i="34"/>
  <c r="I199" i="34"/>
  <c r="F52" i="34"/>
  <c r="F80" i="34" s="1"/>
  <c r="F87" i="38"/>
  <c r="G102" i="2" s="1"/>
  <c r="F188" i="34"/>
  <c r="F213" i="34" s="1"/>
  <c r="F216" i="34" s="1"/>
  <c r="N349" i="13"/>
  <c r="E106" i="2"/>
  <c r="H199" i="34"/>
  <c r="J49" i="34"/>
  <c r="F80" i="38"/>
  <c r="G100" i="2" s="1"/>
  <c r="L100" i="2" s="1"/>
  <c r="I49" i="36"/>
  <c r="C739" i="13"/>
  <c r="C740" i="13" s="1"/>
  <c r="C741" i="13" s="1"/>
  <c r="C742" i="13" s="1"/>
  <c r="C743" i="13" s="1"/>
  <c r="C744" i="13" s="1"/>
  <c r="C745" i="13" s="1"/>
  <c r="C746" i="13" s="1"/>
  <c r="C747" i="13" s="1"/>
  <c r="C748" i="13" s="1"/>
  <c r="C749" i="13" s="1"/>
  <c r="C750" i="13" s="1"/>
  <c r="C751" i="13" s="1"/>
  <c r="C752" i="13" s="1"/>
  <c r="C753" i="13" s="1"/>
  <c r="C754" i="13" s="1"/>
  <c r="C755" i="13" s="1"/>
  <c r="C756" i="13" s="1"/>
  <c r="C757" i="13" s="1"/>
  <c r="C758" i="13" s="1"/>
  <c r="C759" i="13" s="1"/>
  <c r="C760" i="13" s="1"/>
  <c r="C761" i="13" s="1"/>
  <c r="C762" i="13" s="1"/>
  <c r="C763" i="13" s="1"/>
  <c r="C764" i="13" s="1"/>
  <c r="C765" i="13" s="1"/>
  <c r="C766" i="13" s="1"/>
  <c r="C767" i="13" s="1"/>
  <c r="C768" i="13" s="1"/>
  <c r="C166" i="34"/>
  <c r="I64" i="36"/>
  <c r="I70" i="36" s="1"/>
  <c r="E70" i="36"/>
  <c r="A68" i="36"/>
  <c r="B63" i="34"/>
  <c r="A16" i="34"/>
  <c r="B13" i="34" s="1"/>
  <c r="E140" i="34"/>
  <c r="G43" i="37"/>
  <c r="J101" i="34"/>
  <c r="J150" i="34" s="1"/>
  <c r="H140" i="34"/>
  <c r="D84" i="36"/>
  <c r="J130" i="34"/>
  <c r="J197" i="34"/>
  <c r="F23" i="36"/>
  <c r="O33" i="21"/>
  <c r="G195" i="2" s="1"/>
  <c r="J136" i="34"/>
  <c r="D20" i="5"/>
  <c r="J14" i="34"/>
  <c r="J63" i="34" s="1"/>
  <c r="M697" i="13"/>
  <c r="I53" i="34"/>
  <c r="I203" i="34" s="1"/>
  <c r="I139" i="34"/>
  <c r="L348" i="13"/>
  <c r="E166" i="34"/>
  <c r="S27" i="21"/>
  <c r="M262" i="13"/>
  <c r="D33" i="32"/>
  <c r="C478" i="13"/>
  <c r="C479" i="13" s="1"/>
  <c r="C480" i="13" s="1"/>
  <c r="C481" i="13" s="1"/>
  <c r="C482" i="13" s="1"/>
  <c r="C483" i="13" s="1"/>
  <c r="C484" i="13" s="1"/>
  <c r="C485" i="13" s="1"/>
  <c r="C486" i="13" s="1"/>
  <c r="C487" i="13" s="1"/>
  <c r="C488" i="13" s="1"/>
  <c r="C489" i="13" s="1"/>
  <c r="C490" i="13" s="1"/>
  <c r="C491" i="13" s="1"/>
  <c r="C492" i="13" s="1"/>
  <c r="C493" i="13" s="1"/>
  <c r="C494" i="13" s="1"/>
  <c r="C495" i="13" s="1"/>
  <c r="C496" i="13" s="1"/>
  <c r="C497" i="13" s="1"/>
  <c r="C498" i="13" s="1"/>
  <c r="C499" i="13" s="1"/>
  <c r="C500" i="13" s="1"/>
  <c r="C501" i="13" s="1"/>
  <c r="C502" i="13" s="1"/>
  <c r="C503" i="13" s="1"/>
  <c r="C504" i="13" s="1"/>
  <c r="C505" i="13" s="1"/>
  <c r="C506" i="13" s="1"/>
  <c r="C507" i="13" s="1"/>
  <c r="N436" i="13"/>
  <c r="B23" i="7"/>
  <c r="A23" i="7"/>
  <c r="E116" i="2" s="1"/>
  <c r="F48" i="13"/>
  <c r="G48" i="20"/>
  <c r="E28" i="2"/>
  <c r="D30" i="2"/>
  <c r="A37" i="31"/>
  <c r="A40" i="31" s="1"/>
  <c r="A49" i="31" s="1"/>
  <c r="A50" i="31" s="1"/>
  <c r="A52" i="31" s="1"/>
  <c r="A54" i="31" s="1"/>
  <c r="A58" i="31" s="1"/>
  <c r="A59" i="31" s="1"/>
  <c r="A61" i="31" s="1"/>
  <c r="A62" i="31" s="1"/>
  <c r="A65" i="31" s="1"/>
  <c r="A69" i="31" s="1"/>
  <c r="A81" i="31" s="1"/>
  <c r="A86" i="31" s="1"/>
  <c r="A90" i="31" s="1"/>
  <c r="A96" i="31" s="1"/>
  <c r="A99" i="31" s="1"/>
  <c r="A102" i="31" s="1"/>
  <c r="F32" i="34"/>
  <c r="F53" i="34" s="1"/>
  <c r="F203" i="34" s="1"/>
  <c r="C79" i="34"/>
  <c r="E79" i="34"/>
  <c r="J112" i="34"/>
  <c r="C119" i="34"/>
  <c r="J119" i="34" s="1"/>
  <c r="C139" i="34"/>
  <c r="C151" i="34" s="1"/>
  <c r="J118" i="34"/>
  <c r="G27" i="5"/>
  <c r="G25" i="5"/>
  <c r="G82" i="36"/>
  <c r="C84" i="36"/>
  <c r="E139" i="34"/>
  <c r="J124" i="34"/>
  <c r="J31" i="34"/>
  <c r="A71" i="36"/>
  <c r="D34" i="5" s="1"/>
  <c r="I52" i="34"/>
  <c r="G139" i="34"/>
  <c r="G151" i="34" s="1"/>
  <c r="I188" i="34"/>
  <c r="I213" i="34" s="1"/>
  <c r="I216" i="34" s="1"/>
  <c r="H188" i="34"/>
  <c r="H213" i="34" s="1"/>
  <c r="H216" i="34" s="1"/>
  <c r="H218" i="34" s="1"/>
  <c r="J198" i="34"/>
  <c r="I43" i="11"/>
  <c r="G169" i="2" s="1"/>
  <c r="J25" i="34"/>
  <c r="K64" i="36"/>
  <c r="K70" i="36" s="1"/>
  <c r="G44" i="36"/>
  <c r="G49" i="37"/>
  <c r="G44" i="37"/>
  <c r="H166" i="34"/>
  <c r="H139" i="34"/>
  <c r="H167" i="34" s="1"/>
  <c r="E18" i="2"/>
  <c r="E171" i="2"/>
  <c r="G166" i="34"/>
  <c r="J195" i="34"/>
  <c r="G199" i="34"/>
  <c r="C32" i="34"/>
  <c r="C52" i="34"/>
  <c r="C57" i="34" s="1"/>
  <c r="C60" i="34" s="1"/>
  <c r="C65" i="34" s="1"/>
  <c r="I22" i="35"/>
  <c r="L22" i="35" s="1"/>
  <c r="M436" i="13"/>
  <c r="E27" i="5"/>
  <c r="E35" i="5"/>
  <c r="E49" i="5"/>
  <c r="E51" i="5" s="1"/>
  <c r="J54" i="41"/>
  <c r="H233" i="2"/>
  <c r="C188" i="34"/>
  <c r="C213" i="34" s="1"/>
  <c r="C216" i="34" s="1"/>
  <c r="C218" i="34" s="1"/>
  <c r="J194" i="34"/>
  <c r="E25" i="5"/>
  <c r="G35" i="5"/>
  <c r="G33" i="5"/>
  <c r="E33" i="5"/>
  <c r="G81" i="36"/>
  <c r="K84" i="36"/>
  <c r="I52" i="5"/>
  <c r="L95" i="2" s="1"/>
  <c r="G43" i="5"/>
  <c r="G41" i="5"/>
  <c r="N871" i="13"/>
  <c r="E73" i="9"/>
  <c r="I23" i="31"/>
  <c r="G43" i="11"/>
  <c r="K43" i="11"/>
  <c r="G173" i="2" s="1"/>
  <c r="E17" i="11"/>
  <c r="M17" i="11" s="1"/>
  <c r="M43" i="11" s="1"/>
  <c r="G172" i="2" s="1"/>
  <c r="L172" i="2" s="1"/>
  <c r="N175" i="13"/>
  <c r="L261" i="13"/>
  <c r="J64" i="36"/>
  <c r="J70" i="36" s="1"/>
  <c r="Q32" i="42"/>
  <c r="P32" i="42"/>
  <c r="E43" i="6"/>
  <c r="E58" i="6" s="1"/>
  <c r="E31" i="6" s="1"/>
  <c r="K58" i="6"/>
  <c r="K31" i="6" s="1"/>
  <c r="I58" i="6"/>
  <c r="I31" i="6" s="1"/>
  <c r="I33" i="6" s="1"/>
  <c r="G111" i="2" s="1"/>
  <c r="G33" i="6"/>
  <c r="G112" i="2" s="1"/>
  <c r="L112" i="2" s="1"/>
  <c r="E23" i="36"/>
  <c r="C64" i="36"/>
  <c r="C70" i="36" s="1"/>
  <c r="G43" i="36"/>
  <c r="G140" i="2"/>
  <c r="G105" i="2" s="1"/>
  <c r="I30" i="31"/>
  <c r="D33" i="40"/>
  <c r="G152" i="2" s="1"/>
  <c r="G154" i="2" s="1"/>
  <c r="L212" i="2"/>
  <c r="G84" i="2"/>
  <c r="K48" i="11" s="1"/>
  <c r="K51" i="11" s="1"/>
  <c r="S22" i="21"/>
  <c r="G83" i="2"/>
  <c r="M175" i="13"/>
  <c r="M523" i="13"/>
  <c r="M871" i="13"/>
  <c r="N262" i="13"/>
  <c r="N523" i="13"/>
  <c r="M610" i="13"/>
  <c r="L870" i="13"/>
  <c r="N610" i="13"/>
  <c r="L243" i="2"/>
  <c r="E22" i="31"/>
  <c r="S17" i="21"/>
  <c r="L41" i="2"/>
  <c r="J27" i="8"/>
  <c r="J31" i="8" s="1"/>
  <c r="D33" i="6"/>
  <c r="D64" i="36"/>
  <c r="D70" i="36" s="1"/>
  <c r="G67" i="36"/>
  <c r="G46" i="36"/>
  <c r="C49" i="36"/>
  <c r="D49" i="36"/>
  <c r="J49" i="36"/>
  <c r="G45" i="37"/>
  <c r="I630" i="20"/>
  <c r="I94" i="20"/>
  <c r="I719" i="20"/>
  <c r="I273" i="20"/>
  <c r="I541" i="20"/>
  <c r="I899" i="20"/>
  <c r="I184" i="20"/>
  <c r="N88" i="13"/>
  <c r="C130" i="13"/>
  <c r="C131" i="13" s="1"/>
  <c r="C132" i="13" s="1"/>
  <c r="C133" i="13" s="1"/>
  <c r="C134" i="13" s="1"/>
  <c r="C135" i="13" s="1"/>
  <c r="C136" i="13" s="1"/>
  <c r="C137" i="13" s="1"/>
  <c r="C138" i="13" s="1"/>
  <c r="C139" i="13" s="1"/>
  <c r="C140" i="13" s="1"/>
  <c r="C141" i="13" s="1"/>
  <c r="C142" i="13" s="1"/>
  <c r="C143" i="13" s="1"/>
  <c r="C144" i="13" s="1"/>
  <c r="C145" i="13" s="1"/>
  <c r="C146" i="13" s="1"/>
  <c r="C147" i="13" s="1"/>
  <c r="C148" i="13" s="1"/>
  <c r="C149" i="13" s="1"/>
  <c r="C150" i="13" s="1"/>
  <c r="C151" i="13" s="1"/>
  <c r="C152" i="13" s="1"/>
  <c r="C153" i="13" s="1"/>
  <c r="C154" i="13" s="1"/>
  <c r="C155" i="13" s="1"/>
  <c r="C156" i="13" s="1"/>
  <c r="C157" i="13" s="1"/>
  <c r="C158" i="13" s="1"/>
  <c r="C159" i="13" s="1"/>
  <c r="M88" i="13"/>
  <c r="E149" i="2"/>
  <c r="E172" i="2"/>
  <c r="E169" i="2"/>
  <c r="A48" i="11"/>
  <c r="E173" i="2"/>
  <c r="G24" i="35"/>
  <c r="I23" i="35"/>
  <c r="L23" i="35" s="1"/>
  <c r="L151" i="2"/>
  <c r="J125" i="34"/>
  <c r="E108" i="2"/>
  <c r="A23" i="6"/>
  <c r="N784" i="13"/>
  <c r="M784" i="13"/>
  <c r="A84" i="38"/>
  <c r="A87" i="38" s="1"/>
  <c r="E100" i="2"/>
  <c r="C199" i="34"/>
  <c r="J193" i="34"/>
  <c r="I61" i="11"/>
  <c r="I63" i="11" s="1"/>
  <c r="I65" i="11" s="1"/>
  <c r="I53" i="11"/>
  <c r="I55" i="11" s="1"/>
  <c r="J185" i="34"/>
  <c r="J188" i="34" s="1"/>
  <c r="J213" i="34" s="1"/>
  <c r="A27" i="40"/>
  <c r="A28" i="40" s="1"/>
  <c r="A29" i="40" s="1"/>
  <c r="A30" i="40" s="1"/>
  <c r="H38" i="34"/>
  <c r="H53" i="34" s="1"/>
  <c r="H203" i="34" s="1"/>
  <c r="H52" i="34"/>
  <c r="J50" i="34"/>
  <c r="C826" i="13"/>
  <c r="C827" i="13" s="1"/>
  <c r="C828" i="13" s="1"/>
  <c r="C829" i="13" s="1"/>
  <c r="C830" i="13" s="1"/>
  <c r="C831" i="13" s="1"/>
  <c r="C832" i="13" s="1"/>
  <c r="C833" i="13" s="1"/>
  <c r="C834" i="13" s="1"/>
  <c r="C835" i="13" s="1"/>
  <c r="C836" i="13" s="1"/>
  <c r="C837" i="13" s="1"/>
  <c r="C838" i="13" s="1"/>
  <c r="C839" i="13" s="1"/>
  <c r="C840" i="13" s="1"/>
  <c r="C841" i="13" s="1"/>
  <c r="C842" i="13" s="1"/>
  <c r="C843" i="13" s="1"/>
  <c r="C844" i="13" s="1"/>
  <c r="C845" i="13" s="1"/>
  <c r="C846" i="13" s="1"/>
  <c r="C847" i="13" s="1"/>
  <c r="C848" i="13" s="1"/>
  <c r="C849" i="13" s="1"/>
  <c r="C850" i="13" s="1"/>
  <c r="C851" i="13" s="1"/>
  <c r="C852" i="13" s="1"/>
  <c r="C853" i="13" s="1"/>
  <c r="C854" i="13" s="1"/>
  <c r="C855" i="13" s="1"/>
  <c r="A23" i="5"/>
  <c r="A25" i="5" s="1"/>
  <c r="E91" i="2"/>
  <c r="G140" i="34"/>
  <c r="B28" i="2"/>
  <c r="B30" i="2" s="1"/>
  <c r="B31" i="2" s="1"/>
  <c r="F150" i="34"/>
  <c r="F166" i="34"/>
  <c r="A29" i="39"/>
  <c r="A30" i="39" s="1"/>
  <c r="A31" i="39" s="1"/>
  <c r="A32" i="39" s="1"/>
  <c r="A33" i="39" s="1"/>
  <c r="A34" i="39" s="1"/>
  <c r="A35" i="39" s="1"/>
  <c r="A36" i="39" s="1"/>
  <c r="A37" i="39" s="1"/>
  <c r="A38" i="39" s="1"/>
  <c r="A39" i="39" s="1"/>
  <c r="A40" i="39" s="1"/>
  <c r="A41" i="39" s="1"/>
  <c r="A42" i="39" s="1"/>
  <c r="E244" i="2"/>
  <c r="J131" i="34"/>
  <c r="F140" i="34"/>
  <c r="H42" i="39"/>
  <c r="J137" i="34"/>
  <c r="I140" i="34"/>
  <c r="G44" i="34"/>
  <c r="G53" i="34" s="1"/>
  <c r="G203" i="34" s="1"/>
  <c r="G52" i="34"/>
  <c r="E38" i="34"/>
  <c r="E53" i="34" s="1"/>
  <c r="E203" i="34" s="1"/>
  <c r="E52" i="34"/>
  <c r="J37" i="34"/>
  <c r="J43" i="34"/>
  <c r="C44" i="34"/>
  <c r="E66" i="2"/>
  <c r="E67" i="2"/>
  <c r="E65" i="2"/>
  <c r="A29" i="38"/>
  <c r="A30" i="38" s="1"/>
  <c r="A31" i="38" s="1"/>
  <c r="A32" i="38" s="1"/>
  <c r="A33" i="38" s="1"/>
  <c r="A34" i="38" s="1"/>
  <c r="A35" i="38" s="1"/>
  <c r="A36" i="38" s="1"/>
  <c r="A37" i="38" s="1"/>
  <c r="A38" i="38" s="1"/>
  <c r="A39" i="38" s="1"/>
  <c r="A40" i="38" s="1"/>
  <c r="A41" i="38" s="1"/>
  <c r="A42" i="38" s="1"/>
  <c r="I808" i="20"/>
  <c r="I452" i="20"/>
  <c r="E188" i="34"/>
  <c r="E213" i="34" s="1"/>
  <c r="F199" i="34"/>
  <c r="I37" i="31"/>
  <c r="B23" i="40"/>
  <c r="G188" i="34"/>
  <c r="G19" i="36"/>
  <c r="K49" i="36"/>
  <c r="J84" i="36"/>
  <c r="E19" i="5"/>
  <c r="E17" i="5"/>
  <c r="G49" i="5"/>
  <c r="G19" i="5"/>
  <c r="G17" i="5"/>
  <c r="G22" i="41"/>
  <c r="I21" i="41"/>
  <c r="G85" i="2"/>
  <c r="J82" i="6"/>
  <c r="J32" i="6" s="1"/>
  <c r="J33" i="6" s="1"/>
  <c r="G110" i="2" s="1"/>
  <c r="P822" i="13"/>
  <c r="P807" i="13"/>
  <c r="P384" i="13"/>
  <c r="P150" i="13"/>
  <c r="P221" i="13"/>
  <c r="P740" i="13"/>
  <c r="P742" i="13"/>
  <c r="P768" i="13"/>
  <c r="P131" i="13"/>
  <c r="P214" i="13"/>
  <c r="P226" i="13"/>
  <c r="P374" i="13"/>
  <c r="P378" i="13"/>
  <c r="P380" i="13"/>
  <c r="P382" i="13"/>
  <c r="P386" i="13"/>
  <c r="P398" i="13"/>
  <c r="P400" i="13"/>
  <c r="P402" i="13"/>
  <c r="P406" i="13"/>
  <c r="P408" i="13"/>
  <c r="P414" i="13"/>
  <c r="P420" i="13"/>
  <c r="P472" i="13"/>
  <c r="P494" i="13"/>
  <c r="P568" i="13"/>
  <c r="P767" i="13"/>
  <c r="P923" i="13"/>
  <c r="P298" i="13"/>
  <c r="P318" i="13"/>
  <c r="P326" i="13"/>
  <c r="P328" i="13"/>
  <c r="P458" i="13"/>
  <c r="P460" i="13"/>
  <c r="P462" i="13"/>
  <c r="P464" i="13"/>
  <c r="P466" i="13"/>
  <c r="P468" i="13"/>
  <c r="P470" i="13"/>
  <c r="P480" i="13"/>
  <c r="P484" i="13"/>
  <c r="P486" i="13"/>
  <c r="P488" i="13"/>
  <c r="P490" i="13"/>
  <c r="P492" i="13"/>
  <c r="P496" i="13"/>
  <c r="P504" i="13"/>
  <c r="P657" i="13"/>
  <c r="P659" i="13"/>
  <c r="P648" i="13"/>
  <c r="P652" i="13"/>
  <c r="P656" i="13"/>
  <c r="P830" i="13"/>
  <c r="P482" i="13"/>
  <c r="P805" i="13"/>
  <c r="P884" i="13"/>
  <c r="P295" i="13"/>
  <c r="P299" i="13"/>
  <c r="P307" i="13"/>
  <c r="P315" i="13"/>
  <c r="P317" i="13"/>
  <c r="P818" i="13"/>
  <c r="P159" i="13"/>
  <c r="P157" i="13"/>
  <c r="P155" i="13"/>
  <c r="P143" i="13"/>
  <c r="P139" i="13"/>
  <c r="P133" i="13"/>
  <c r="P129" i="13"/>
  <c r="P127" i="13"/>
  <c r="P121" i="13"/>
  <c r="P117" i="13"/>
  <c r="P115" i="13"/>
  <c r="P388" i="13"/>
  <c r="P548" i="13"/>
  <c r="P552" i="13"/>
  <c r="P554" i="13"/>
  <c r="P558" i="13"/>
  <c r="P560" i="13"/>
  <c r="P562" i="13"/>
  <c r="P570" i="13"/>
  <c r="P572" i="13"/>
  <c r="P584" i="13"/>
  <c r="P725" i="13"/>
  <c r="P727" i="13"/>
  <c r="P761" i="13"/>
  <c r="P152" i="13"/>
  <c r="P120" i="13"/>
  <c r="P587" i="13"/>
  <c r="P589" i="13"/>
  <c r="P591" i="13"/>
  <c r="P593" i="13"/>
  <c r="P732" i="13"/>
  <c r="P748" i="13"/>
  <c r="P754" i="13"/>
  <c r="P922" i="13"/>
  <c r="P834" i="13"/>
  <c r="P842" i="13"/>
  <c r="P852" i="13"/>
  <c r="P633" i="13"/>
  <c r="P635" i="13"/>
  <c r="P637" i="13"/>
  <c r="P639" i="13"/>
  <c r="P641" i="13"/>
  <c r="P643" i="13"/>
  <c r="P647" i="13"/>
  <c r="P661" i="13"/>
  <c r="P663" i="13"/>
  <c r="P665" i="13"/>
  <c r="P667" i="13"/>
  <c r="P669" i="13"/>
  <c r="P671" i="13"/>
  <c r="P673" i="13"/>
  <c r="P675" i="13"/>
  <c r="P809" i="13"/>
  <c r="P811" i="13"/>
  <c r="P813" i="13"/>
  <c r="P815" i="13"/>
  <c r="P817" i="13"/>
  <c r="P819" i="13"/>
  <c r="P821" i="13"/>
  <c r="P823" i="13"/>
  <c r="P825" i="13"/>
  <c r="P827" i="13"/>
  <c r="P829" i="13"/>
  <c r="P896" i="13"/>
  <c r="P898" i="13"/>
  <c r="P902" i="13"/>
  <c r="P904" i="13"/>
  <c r="P910" i="13"/>
  <c r="P912" i="13"/>
  <c r="P914" i="13"/>
  <c r="P916" i="13"/>
  <c r="P918" i="13"/>
  <c r="P920" i="13"/>
  <c r="P924" i="13"/>
  <c r="P926" i="13"/>
  <c r="P928" i="13"/>
  <c r="P932" i="13"/>
  <c r="P936" i="13"/>
  <c r="P832" i="13"/>
  <c r="P836" i="13"/>
  <c r="P840" i="13"/>
  <c r="P147" i="13"/>
  <c r="P145" i="13"/>
  <c r="P125" i="13"/>
  <c r="P550" i="13"/>
  <c r="P556" i="13"/>
  <c r="P666" i="13"/>
  <c r="P668" i="13"/>
  <c r="P680" i="13"/>
  <c r="P808" i="13"/>
  <c r="P810" i="13"/>
  <c r="P812" i="13"/>
  <c r="P814" i="13"/>
  <c r="P816" i="13"/>
  <c r="P820" i="13"/>
  <c r="P824" i="13"/>
  <c r="P826" i="13"/>
  <c r="P828" i="13"/>
  <c r="P893" i="13"/>
  <c r="P899" i="13"/>
  <c r="P911" i="13"/>
  <c r="P919" i="13"/>
  <c r="P921" i="13"/>
  <c r="P927" i="13"/>
  <c r="P929" i="13"/>
  <c r="P931" i="13"/>
  <c r="P935" i="13"/>
  <c r="P939" i="13"/>
  <c r="P941" i="13"/>
  <c r="P114" i="13"/>
  <c r="P201" i="13"/>
  <c r="P203" i="13"/>
  <c r="P205" i="13"/>
  <c r="P207" i="13"/>
  <c r="P217" i="13"/>
  <c r="P219" i="13"/>
  <c r="P229" i="13"/>
  <c r="P231" i="13"/>
  <c r="P233" i="13"/>
  <c r="P235" i="13"/>
  <c r="P237" i="13"/>
  <c r="P239" i="13"/>
  <c r="P243" i="13"/>
  <c r="P245" i="13"/>
  <c r="P391" i="13"/>
  <c r="P561" i="13"/>
  <c r="P563" i="13"/>
  <c r="P679" i="13"/>
  <c r="P838" i="13"/>
  <c r="P287" i="13"/>
  <c r="P289" i="13"/>
  <c r="P291" i="13"/>
  <c r="P293" i="13"/>
  <c r="P301" i="13"/>
  <c r="P303" i="13"/>
  <c r="P309" i="13"/>
  <c r="P311" i="13"/>
  <c r="P313" i="13"/>
  <c r="P719" i="13"/>
  <c r="P739" i="13"/>
  <c r="P743" i="13"/>
  <c r="P745" i="13"/>
  <c r="P751" i="13"/>
  <c r="P753" i="13"/>
  <c r="P755" i="13"/>
  <c r="P757" i="13"/>
  <c r="P759" i="13"/>
  <c r="P831" i="13"/>
  <c r="P837" i="13"/>
  <c r="P839" i="13"/>
  <c r="P845" i="13"/>
  <c r="P585" i="13"/>
  <c r="P676" i="13"/>
  <c r="P883" i="13"/>
  <c r="P316" i="13"/>
  <c r="P728" i="13"/>
  <c r="P118" i="13"/>
  <c r="P116" i="13"/>
  <c r="P213" i="13"/>
  <c r="P215" i="13"/>
  <c r="P223" i="13"/>
  <c r="P227" i="13"/>
  <c r="P658" i="13"/>
  <c r="P660" i="13"/>
  <c r="P664" i="13"/>
  <c r="P672" i="13"/>
  <c r="P674" i="13"/>
  <c r="P724" i="13"/>
  <c r="P726" i="13"/>
  <c r="P853" i="13"/>
  <c r="P208" i="13"/>
  <c r="P212" i="13"/>
  <c r="P218" i="13"/>
  <c r="P222" i="13"/>
  <c r="P236" i="13"/>
  <c r="P288" i="13"/>
  <c r="P290" i="13"/>
  <c r="P292" i="13"/>
  <c r="P296" i="13"/>
  <c r="P300" i="13"/>
  <c r="P304" i="13"/>
  <c r="P306" i="13"/>
  <c r="P308" i="13"/>
  <c r="P310" i="13"/>
  <c r="P312" i="13"/>
  <c r="P314" i="13"/>
  <c r="P319" i="13"/>
  <c r="P331" i="13"/>
  <c r="P333" i="13"/>
  <c r="P373" i="13"/>
  <c r="P375" i="13"/>
  <c r="P387" i="13"/>
  <c r="P393" i="13"/>
  <c r="P395" i="13"/>
  <c r="P459" i="13"/>
  <c r="P461" i="13"/>
  <c r="P463" i="13"/>
  <c r="P465" i="13"/>
  <c r="P469" i="13"/>
  <c r="P471" i="13"/>
  <c r="P481" i="13"/>
  <c r="P483" i="13"/>
  <c r="P485" i="13"/>
  <c r="P487" i="13"/>
  <c r="P489" i="13"/>
  <c r="P491" i="13"/>
  <c r="P493" i="13"/>
  <c r="P495" i="13"/>
  <c r="P497" i="13"/>
  <c r="P503" i="13"/>
  <c r="P505" i="13"/>
  <c r="P559" i="13"/>
  <c r="P565" i="13"/>
  <c r="P567" i="13"/>
  <c r="P571" i="13"/>
  <c r="P575" i="13"/>
  <c r="P579" i="13"/>
  <c r="P583" i="13"/>
  <c r="P588" i="13"/>
  <c r="P590" i="13"/>
  <c r="P592" i="13"/>
  <c r="P594" i="13"/>
  <c r="P634" i="13"/>
  <c r="P636" i="13"/>
  <c r="P638" i="13"/>
  <c r="P640" i="13"/>
  <c r="P678" i="13"/>
  <c r="P744" i="13"/>
  <c r="P756" i="13"/>
  <c r="P762" i="13"/>
  <c r="P764" i="13"/>
  <c r="P766" i="13"/>
  <c r="P806" i="13"/>
  <c r="P200" i="13"/>
  <c r="P202" i="13"/>
  <c r="P204" i="13"/>
  <c r="P210" i="13"/>
  <c r="P216" i="13"/>
  <c r="P220" i="13"/>
  <c r="P224" i="13"/>
  <c r="P228" i="13"/>
  <c r="P230" i="13"/>
  <c r="P232" i="13"/>
  <c r="P238" i="13"/>
  <c r="P240" i="13"/>
  <c r="P242" i="13"/>
  <c r="P244" i="13"/>
  <c r="P246" i="13"/>
  <c r="P377" i="13"/>
  <c r="P379" i="13"/>
  <c r="P385" i="13"/>
  <c r="P399" i="13"/>
  <c r="P401" i="13"/>
  <c r="P403" i="13"/>
  <c r="P405" i="13"/>
  <c r="P407" i="13"/>
  <c r="P409" i="13"/>
  <c r="P411" i="13"/>
  <c r="P413" i="13"/>
  <c r="P415" i="13"/>
  <c r="P417" i="13"/>
  <c r="P419" i="13"/>
  <c r="P545" i="13"/>
  <c r="P547" i="13"/>
  <c r="P549" i="13"/>
  <c r="P551" i="13"/>
  <c r="P553" i="13"/>
  <c r="P555" i="13"/>
  <c r="P557" i="13"/>
  <c r="P569" i="13"/>
  <c r="P577" i="13"/>
  <c r="P581" i="13"/>
  <c r="P644" i="13"/>
  <c r="P662" i="13"/>
  <c r="P677" i="13"/>
  <c r="P723" i="13"/>
  <c r="P729" i="13"/>
  <c r="P731" i="13"/>
  <c r="P733" i="13"/>
  <c r="P735" i="13"/>
  <c r="P747" i="13"/>
  <c r="P907" i="13"/>
  <c r="P909" i="13"/>
  <c r="P154" i="13"/>
  <c r="P148" i="13"/>
  <c r="P146" i="13"/>
  <c r="P144" i="13"/>
  <c r="P142" i="13"/>
  <c r="P140" i="13"/>
  <c r="P138" i="13"/>
  <c r="P136" i="13"/>
  <c r="P134" i="13"/>
  <c r="P132" i="13"/>
  <c r="P124" i="13"/>
  <c r="P122" i="13"/>
  <c r="P305" i="13"/>
  <c r="P320" i="13"/>
  <c r="P322" i="13"/>
  <c r="P324" i="13"/>
  <c r="P330" i="13"/>
  <c r="P332" i="13"/>
  <c r="P376" i="13"/>
  <c r="P390" i="13"/>
  <c r="P392" i="13"/>
  <c r="P394" i="13"/>
  <c r="P396" i="13"/>
  <c r="P404" i="13"/>
  <c r="P410" i="13"/>
  <c r="P412" i="13"/>
  <c r="P416" i="13"/>
  <c r="P418" i="13"/>
  <c r="P474" i="13"/>
  <c r="P476" i="13"/>
  <c r="P498" i="13"/>
  <c r="P500" i="13"/>
  <c r="P502" i="13"/>
  <c r="P506" i="13"/>
  <c r="P574" i="13"/>
  <c r="P580" i="13"/>
  <c r="P582" i="13"/>
  <c r="P650" i="13"/>
  <c r="P730" i="13"/>
  <c r="P843" i="13"/>
  <c r="P847" i="13"/>
  <c r="P849" i="13"/>
  <c r="P851" i="13"/>
  <c r="P854" i="13"/>
  <c r="P885" i="13"/>
  <c r="P894" i="13"/>
  <c r="P900" i="13"/>
  <c r="P149" i="13"/>
  <c r="P141" i="13"/>
  <c r="P137" i="13"/>
  <c r="P135" i="13"/>
  <c r="P123" i="13"/>
  <c r="P119" i="13"/>
  <c r="P209" i="13"/>
  <c r="P321" i="13"/>
  <c r="P323" i="13"/>
  <c r="P325" i="13"/>
  <c r="P327" i="13"/>
  <c r="P329" i="13"/>
  <c r="P475" i="13"/>
  <c r="P499" i="13"/>
  <c r="P653" i="13"/>
  <c r="P655" i="13"/>
  <c r="P746" i="13"/>
  <c r="P844" i="13"/>
  <c r="P846" i="13"/>
  <c r="P942" i="13"/>
  <c r="P479" i="13"/>
  <c r="P938" i="13"/>
  <c r="P361" i="13"/>
  <c r="P211" i="13"/>
  <c r="P225" i="13"/>
  <c r="P241" i="13"/>
  <c r="P297" i="13"/>
  <c r="P477" i="13"/>
  <c r="P507" i="13"/>
  <c r="P576" i="13"/>
  <c r="P578" i="13"/>
  <c r="P645" i="13"/>
  <c r="P654" i="13"/>
  <c r="P750" i="13"/>
  <c r="P752" i="13"/>
  <c r="P763" i="13"/>
  <c r="P906" i="13"/>
  <c r="P913" i="13"/>
  <c r="P915" i="13"/>
  <c r="P917" i="13"/>
  <c r="P940" i="13"/>
  <c r="P206" i="13"/>
  <c r="P294" i="13"/>
  <c r="P302" i="13"/>
  <c r="P389" i="13"/>
  <c r="P397" i="13"/>
  <c r="P467" i="13"/>
  <c r="P478" i="13"/>
  <c r="P632" i="13"/>
  <c r="P642" i="13"/>
  <c r="P649" i="13"/>
  <c r="P651" i="13"/>
  <c r="P720" i="13"/>
  <c r="P722" i="13"/>
  <c r="P734" i="13"/>
  <c r="P736" i="13"/>
  <c r="P738" i="13"/>
  <c r="P758" i="13"/>
  <c r="P760" i="13"/>
  <c r="P765" i="13"/>
  <c r="P833" i="13"/>
  <c r="P835" i="13"/>
  <c r="P841" i="13"/>
  <c r="P848" i="13"/>
  <c r="P850" i="13"/>
  <c r="P855" i="13"/>
  <c r="P933" i="13"/>
  <c r="P937" i="13"/>
  <c r="P158" i="13"/>
  <c r="P156" i="13"/>
  <c r="P130" i="13"/>
  <c r="P128" i="13"/>
  <c r="P126" i="13"/>
  <c r="P234" i="13"/>
  <c r="P473" i="13"/>
  <c r="P546" i="13"/>
  <c r="P564" i="13"/>
  <c r="P566" i="13"/>
  <c r="P721" i="13"/>
  <c r="P737" i="13"/>
  <c r="P741" i="13"/>
  <c r="P895" i="13"/>
  <c r="P897" i="13"/>
  <c r="P901" i="13"/>
  <c r="P903" i="13"/>
  <c r="P905" i="13"/>
  <c r="P930" i="13"/>
  <c r="P153" i="13"/>
  <c r="P151" i="13"/>
  <c r="P573" i="13"/>
  <c r="P646" i="13"/>
  <c r="P934" i="13"/>
  <c r="P381" i="13"/>
  <c r="P383" i="13"/>
  <c r="P501" i="13"/>
  <c r="P586" i="13"/>
  <c r="P670" i="13"/>
  <c r="P681" i="13"/>
  <c r="P749" i="13"/>
  <c r="P908" i="13"/>
  <c r="P925" i="13"/>
  <c r="A61" i="36" l="1"/>
  <c r="G48" i="11"/>
  <c r="M48" i="11" s="1"/>
  <c r="G87" i="2"/>
  <c r="E78" i="2"/>
  <c r="E79" i="2"/>
  <c r="A26" i="37"/>
  <c r="A27" i="37" s="1"/>
  <c r="A28" i="37" s="1"/>
  <c r="A29" i="37" s="1"/>
  <c r="N21" i="13"/>
  <c r="O21" i="13"/>
  <c r="G171" i="2"/>
  <c r="G174" i="2" s="1"/>
  <c r="O697" i="13"/>
  <c r="A19" i="34"/>
  <c r="A20" i="34" s="1"/>
  <c r="A21" i="34" s="1"/>
  <c r="A22" i="34" s="1"/>
  <c r="A23" i="34" s="1"/>
  <c r="A24" i="34" s="1"/>
  <c r="A25" i="34" s="1"/>
  <c r="B79" i="34" s="1"/>
  <c r="G144" i="34"/>
  <c r="G147" i="34" s="1"/>
  <c r="G152" i="34" s="1"/>
  <c r="G153" i="34" s="1"/>
  <c r="G157" i="34" s="1"/>
  <c r="G173" i="34" s="1"/>
  <c r="F64" i="34"/>
  <c r="H144" i="34"/>
  <c r="H147" i="34" s="1"/>
  <c r="H152" i="34" s="1"/>
  <c r="F229" i="34"/>
  <c r="J79" i="34"/>
  <c r="O349" i="13"/>
  <c r="H151" i="34"/>
  <c r="G28" i="5"/>
  <c r="F218" i="34"/>
  <c r="O262" i="13"/>
  <c r="C229" i="34"/>
  <c r="C234" i="34" s="1"/>
  <c r="C237" i="34" s="1"/>
  <c r="G23" i="36"/>
  <c r="C140" i="34"/>
  <c r="J140" i="34" s="1"/>
  <c r="I202" i="34"/>
  <c r="I214" i="34" s="1"/>
  <c r="I219" i="34" s="1"/>
  <c r="F202" i="34"/>
  <c r="F207" i="34" s="1"/>
  <c r="F210" i="34" s="1"/>
  <c r="F215" i="34" s="1"/>
  <c r="F220" i="34" s="1"/>
  <c r="F236" i="34" s="1"/>
  <c r="F57" i="34"/>
  <c r="F60" i="34" s="1"/>
  <c r="F65" i="34" s="1"/>
  <c r="G167" i="34"/>
  <c r="A73" i="36"/>
  <c r="A75" i="36" s="1"/>
  <c r="A77" i="36" s="1"/>
  <c r="A79" i="36" s="1"/>
  <c r="A80" i="36" s="1"/>
  <c r="A81" i="36" s="1"/>
  <c r="A82" i="36" s="1"/>
  <c r="A83" i="36" s="1"/>
  <c r="A84" i="36" s="1"/>
  <c r="D52" i="5" s="1"/>
  <c r="F144" i="34"/>
  <c r="F147" i="34" s="1"/>
  <c r="F152" i="34" s="1"/>
  <c r="F153" i="34" s="1"/>
  <c r="F155" i="34" s="1"/>
  <c r="F171" i="34" s="1"/>
  <c r="F174" i="34" s="1"/>
  <c r="F167" i="34"/>
  <c r="G64" i="36"/>
  <c r="G70" i="36" s="1"/>
  <c r="E36" i="5"/>
  <c r="J32" i="34"/>
  <c r="J166" i="34"/>
  <c r="C64" i="34"/>
  <c r="C66" i="34" s="1"/>
  <c r="C68" i="34" s="1"/>
  <c r="C84" i="34" s="1"/>
  <c r="C87" i="34" s="1"/>
  <c r="C30" i="40"/>
  <c r="I167" i="34"/>
  <c r="I151" i="34"/>
  <c r="I144" i="34"/>
  <c r="I147" i="34" s="1"/>
  <c r="I152" i="34" s="1"/>
  <c r="I57" i="34"/>
  <c r="I60" i="34" s="1"/>
  <c r="I65" i="34" s="1"/>
  <c r="H229" i="34"/>
  <c r="H234" i="34" s="1"/>
  <c r="H237" i="34" s="1"/>
  <c r="C80" i="34"/>
  <c r="I27" i="5"/>
  <c r="C202" i="34"/>
  <c r="C214" i="34" s="1"/>
  <c r="C219" i="34" s="1"/>
  <c r="L45" i="2"/>
  <c r="O436" i="13"/>
  <c r="I218" i="34"/>
  <c r="G84" i="36"/>
  <c r="C22" i="31"/>
  <c r="C167" i="34"/>
  <c r="C144" i="34"/>
  <c r="J139" i="34"/>
  <c r="E229" i="34"/>
  <c r="I80" i="34"/>
  <c r="I64" i="34"/>
  <c r="E167" i="34"/>
  <c r="E144" i="34"/>
  <c r="E147" i="34" s="1"/>
  <c r="E152" i="34" s="1"/>
  <c r="E151" i="34"/>
  <c r="J199" i="34"/>
  <c r="J229" i="34" s="1"/>
  <c r="O871" i="13"/>
  <c r="I229" i="34"/>
  <c r="G250" i="2"/>
  <c r="J250" i="2" s="1"/>
  <c r="E22" i="20" s="1"/>
  <c r="E43" i="11"/>
  <c r="E102" i="31"/>
  <c r="I22" i="31"/>
  <c r="O175" i="13"/>
  <c r="G156" i="2"/>
  <c r="G158" i="2" s="1"/>
  <c r="E20" i="5"/>
  <c r="O523" i="13"/>
  <c r="K53" i="11"/>
  <c r="K55" i="11" s="1"/>
  <c r="K57" i="11" s="1"/>
  <c r="K58" i="11" s="1"/>
  <c r="K61" i="11"/>
  <c r="K63" i="11" s="1"/>
  <c r="K65" i="11" s="1"/>
  <c r="K67" i="11" s="1"/>
  <c r="K68" i="11" s="1"/>
  <c r="O610" i="13"/>
  <c r="S33" i="21"/>
  <c r="L195" i="2" s="1"/>
  <c r="I19" i="5"/>
  <c r="I35" i="5"/>
  <c r="O784" i="13"/>
  <c r="O88" i="13"/>
  <c r="G49" i="36"/>
  <c r="L21" i="41"/>
  <c r="I33" i="5"/>
  <c r="G93" i="2" s="1"/>
  <c r="G36" i="5"/>
  <c r="E109" i="2"/>
  <c r="A29" i="6"/>
  <c r="A31" i="6" s="1"/>
  <c r="A32" i="6" s="1"/>
  <c r="A33" i="6" s="1"/>
  <c r="E82" i="6"/>
  <c r="E32" i="6" s="1"/>
  <c r="E33" i="6" s="1"/>
  <c r="G113" i="2" s="1"/>
  <c r="L113" i="2" s="1"/>
  <c r="K82" i="6"/>
  <c r="K32" i="6" s="1"/>
  <c r="K33" i="6" s="1"/>
  <c r="G23" i="41"/>
  <c r="I22" i="41"/>
  <c r="L22" i="41" s="1"/>
  <c r="J44" i="34"/>
  <c r="C53" i="34"/>
  <c r="A48" i="39"/>
  <c r="A49" i="39" s="1"/>
  <c r="C70" i="13"/>
  <c r="B33" i="2"/>
  <c r="B34" i="2" s="1"/>
  <c r="D33" i="2"/>
  <c r="C70" i="20"/>
  <c r="E28" i="5"/>
  <c r="I25" i="5"/>
  <c r="G213" i="34"/>
  <c r="G229" i="34"/>
  <c r="G44" i="5"/>
  <c r="G64" i="34"/>
  <c r="G80" i="34"/>
  <c r="G202" i="34"/>
  <c r="G57" i="34"/>
  <c r="G60" i="34" s="1"/>
  <c r="G65" i="34" s="1"/>
  <c r="J216" i="34"/>
  <c r="H270" i="2" s="1"/>
  <c r="J38" i="34"/>
  <c r="H57" i="34"/>
  <c r="H60" i="34" s="1"/>
  <c r="H65" i="34" s="1"/>
  <c r="H80" i="34"/>
  <c r="H64" i="34"/>
  <c r="H202" i="34"/>
  <c r="I24" i="35"/>
  <c r="G25" i="35"/>
  <c r="A50" i="11"/>
  <c r="A51" i="11" s="1"/>
  <c r="E150" i="2"/>
  <c r="E151" i="2"/>
  <c r="I17" i="5"/>
  <c r="G20" i="5"/>
  <c r="A49" i="38"/>
  <c r="A50" i="38" s="1"/>
  <c r="A51" i="38" s="1"/>
  <c r="A52" i="38" s="1"/>
  <c r="A53" i="38" s="1"/>
  <c r="A54" i="38" s="1"/>
  <c r="A55" i="38" s="1"/>
  <c r="A56" i="38" s="1"/>
  <c r="A57" i="38" s="1"/>
  <c r="A58" i="38" s="1"/>
  <c r="A59" i="38" s="1"/>
  <c r="A60" i="38" s="1"/>
  <c r="A61" i="38" s="1"/>
  <c r="A62" i="38" s="1"/>
  <c r="E75" i="2"/>
  <c r="E77" i="2"/>
  <c r="E73" i="2"/>
  <c r="E76" i="2"/>
  <c r="E74" i="2"/>
  <c r="E80" i="34"/>
  <c r="E57" i="34"/>
  <c r="E202" i="34"/>
  <c r="E64" i="34"/>
  <c r="G51" i="5"/>
  <c r="I49" i="5"/>
  <c r="I51" i="5" s="1"/>
  <c r="G95" i="2" s="1"/>
  <c r="E216" i="34"/>
  <c r="E218" i="34" s="1"/>
  <c r="G249" i="2"/>
  <c r="E57" i="39"/>
  <c r="A26" i="5"/>
  <c r="A27" i="5" s="1"/>
  <c r="A28" i="5" s="1"/>
  <c r="A31" i="5" s="1"/>
  <c r="A33" i="5" s="1"/>
  <c r="J52" i="34"/>
  <c r="A33" i="40"/>
  <c r="E152" i="2" s="1"/>
  <c r="C33" i="40"/>
  <c r="A30" i="37" l="1"/>
  <c r="A31" i="37" s="1"/>
  <c r="A32" i="37" s="1"/>
  <c r="A33" i="37" s="1"/>
  <c r="A34" i="37" s="1"/>
  <c r="A35" i="37" s="1"/>
  <c r="A36" i="37" s="1"/>
  <c r="A37" i="37" s="1"/>
  <c r="A38" i="37" s="1"/>
  <c r="A39" i="37" s="1"/>
  <c r="A40" i="37" s="1"/>
  <c r="A41" i="37" s="1"/>
  <c r="A42" i="37" s="1"/>
  <c r="A43" i="37" s="1"/>
  <c r="A44" i="37" s="1"/>
  <c r="A45" i="37" s="1"/>
  <c r="A46" i="37" s="1"/>
  <c r="A47" i="37" s="1"/>
  <c r="A48" i="37" s="1"/>
  <c r="A49" i="37" s="1"/>
  <c r="G51" i="11"/>
  <c r="G61" i="11" s="1"/>
  <c r="G63" i="11" s="1"/>
  <c r="A28" i="34"/>
  <c r="A29" i="34" s="1"/>
  <c r="F66" i="34"/>
  <c r="F70" i="34" s="1"/>
  <c r="F86" i="34" s="1"/>
  <c r="F234" i="34"/>
  <c r="F237" i="34" s="1"/>
  <c r="H153" i="34"/>
  <c r="H155" i="34" s="1"/>
  <c r="H171" i="34" s="1"/>
  <c r="H174" i="34" s="1"/>
  <c r="F214" i="34"/>
  <c r="F219" i="34" s="1"/>
  <c r="F230" i="34"/>
  <c r="I230" i="34"/>
  <c r="I235" i="34" s="1"/>
  <c r="I66" i="34"/>
  <c r="I70" i="34" s="1"/>
  <c r="I86" i="34" s="1"/>
  <c r="I207" i="34"/>
  <c r="I210" i="34" s="1"/>
  <c r="I215" i="34" s="1"/>
  <c r="I220" i="34" s="1"/>
  <c r="I236" i="34" s="1"/>
  <c r="C230" i="34"/>
  <c r="C235" i="34" s="1"/>
  <c r="C207" i="34"/>
  <c r="C210" i="34" s="1"/>
  <c r="C215" i="34" s="1"/>
  <c r="C220" i="34" s="1"/>
  <c r="C236" i="34" s="1"/>
  <c r="L257" i="2"/>
  <c r="E57" i="11"/>
  <c r="E58" i="11" s="1"/>
  <c r="G57" i="11"/>
  <c r="C51" i="11"/>
  <c r="I57" i="11"/>
  <c r="I58" i="11" s="1"/>
  <c r="I59" i="11" s="1"/>
  <c r="I153" i="34"/>
  <c r="I157" i="34" s="1"/>
  <c r="I173" i="34" s="1"/>
  <c r="D28" i="5"/>
  <c r="E22" i="13"/>
  <c r="E234" i="34"/>
  <c r="E237" i="34" s="1"/>
  <c r="J167" i="34"/>
  <c r="J151" i="34"/>
  <c r="C69" i="34"/>
  <c r="C85" i="34" s="1"/>
  <c r="E153" i="34"/>
  <c r="E157" i="34" s="1"/>
  <c r="E173" i="34" s="1"/>
  <c r="C147" i="34"/>
  <c r="C152" i="34" s="1"/>
  <c r="C153" i="34" s="1"/>
  <c r="C156" i="34" s="1"/>
  <c r="C172" i="34" s="1"/>
  <c r="J144" i="34"/>
  <c r="J147" i="34" s="1"/>
  <c r="J152" i="34" s="1"/>
  <c r="C70" i="34"/>
  <c r="C86" i="34" s="1"/>
  <c r="E67" i="11"/>
  <c r="E68" i="11" s="1"/>
  <c r="E69" i="11" s="1"/>
  <c r="I234" i="34"/>
  <c r="I237" i="34" s="1"/>
  <c r="I67" i="11"/>
  <c r="I68" i="11" s="1"/>
  <c r="I69" i="11" s="1"/>
  <c r="G67" i="11"/>
  <c r="P21" i="13"/>
  <c r="G114" i="2"/>
  <c r="I36" i="5"/>
  <c r="L93" i="2" s="1"/>
  <c r="G91" i="2"/>
  <c r="I20" i="5"/>
  <c r="L91" i="2" s="1"/>
  <c r="G216" i="34"/>
  <c r="G218" i="34" s="1"/>
  <c r="G234" i="34" s="1"/>
  <c r="G237" i="34" s="1"/>
  <c r="A50" i="39"/>
  <c r="A51" i="39" s="1"/>
  <c r="A52" i="39" s="1"/>
  <c r="A53" i="39" s="1"/>
  <c r="A54" i="39" s="1"/>
  <c r="A55" i="39" s="1"/>
  <c r="A39" i="6"/>
  <c r="A41" i="6" s="1"/>
  <c r="A42" i="6" s="1"/>
  <c r="E110" i="2"/>
  <c r="E112" i="2"/>
  <c r="E111" i="2"/>
  <c r="E113" i="2"/>
  <c r="J64" i="34"/>
  <c r="J80" i="34"/>
  <c r="J202" i="34"/>
  <c r="F156" i="34"/>
  <c r="F172" i="34" s="1"/>
  <c r="F157" i="34"/>
  <c r="F173" i="34" s="1"/>
  <c r="E214" i="34"/>
  <c r="E219" i="34" s="1"/>
  <c r="E230" i="34"/>
  <c r="E207" i="34"/>
  <c r="E210" i="34" s="1"/>
  <c r="E215" i="34" s="1"/>
  <c r="E220" i="34" s="1"/>
  <c r="E236" i="34" s="1"/>
  <c r="D213" i="2"/>
  <c r="D214" i="2"/>
  <c r="I25" i="35"/>
  <c r="L25" i="35" s="1"/>
  <c r="G26" i="35"/>
  <c r="H66" i="34"/>
  <c r="H68" i="34" s="1"/>
  <c r="H84" i="34" s="1"/>
  <c r="H87" i="34" s="1"/>
  <c r="J218" i="34"/>
  <c r="G230" i="34"/>
  <c r="G214" i="34"/>
  <c r="G207" i="34"/>
  <c r="G210" i="34" s="1"/>
  <c r="G215" i="34" s="1"/>
  <c r="C203" i="34"/>
  <c r="J53" i="34"/>
  <c r="J203" i="34" s="1"/>
  <c r="L258" i="2" s="1"/>
  <c r="J268" i="2" s="1"/>
  <c r="G66" i="34"/>
  <c r="G68" i="34" s="1"/>
  <c r="G84" i="34" s="1"/>
  <c r="G87" i="34" s="1"/>
  <c r="B36" i="2"/>
  <c r="B39" i="2" s="1"/>
  <c r="B41" i="2" s="1"/>
  <c r="B21" i="2"/>
  <c r="A34" i="5"/>
  <c r="A35" i="5" s="1"/>
  <c r="A36" i="5" s="1"/>
  <c r="A39" i="5" s="1"/>
  <c r="A41" i="5" s="1"/>
  <c r="J249" i="2"/>
  <c r="A52" i="11"/>
  <c r="A53" i="11" s="1"/>
  <c r="H207" i="34"/>
  <c r="H210" i="34" s="1"/>
  <c r="H215" i="34" s="1"/>
  <c r="H220" i="34" s="1"/>
  <c r="H236" i="34" s="1"/>
  <c r="H230" i="34"/>
  <c r="H214" i="34"/>
  <c r="H219" i="34" s="1"/>
  <c r="G24" i="41"/>
  <c r="I23" i="41"/>
  <c r="L23" i="41" s="1"/>
  <c r="E92" i="2"/>
  <c r="G155" i="34"/>
  <c r="G171" i="34" s="1"/>
  <c r="G174" i="34" s="1"/>
  <c r="G156" i="34"/>
  <c r="G172" i="34" s="1"/>
  <c r="E60" i="34"/>
  <c r="E65" i="34" s="1"/>
  <c r="J57" i="34"/>
  <c r="J60" i="34" s="1"/>
  <c r="J65" i="34" s="1"/>
  <c r="C61" i="11"/>
  <c r="L24" i="35"/>
  <c r="G92" i="2"/>
  <c r="I28" i="5"/>
  <c r="L92" i="2" s="1"/>
  <c r="M51" i="11" l="1"/>
  <c r="A43" i="6"/>
  <c r="A44" i="6" s="1"/>
  <c r="A45" i="6" s="1"/>
  <c r="A46" i="6" s="1"/>
  <c r="A47" i="6" s="1"/>
  <c r="A48" i="6" s="1"/>
  <c r="A49" i="6" s="1"/>
  <c r="A50" i="6" s="1"/>
  <c r="A51" i="6" s="1"/>
  <c r="A52" i="6" s="1"/>
  <c r="A53" i="6" s="1"/>
  <c r="A54" i="6" s="1"/>
  <c r="A55" i="6" s="1"/>
  <c r="A56" i="6" s="1"/>
  <c r="A57" i="6" s="1"/>
  <c r="A64" i="6" s="1"/>
  <c r="A66" i="6" s="1"/>
  <c r="A67" i="6" s="1"/>
  <c r="A68" i="6" s="1"/>
  <c r="A69" i="6" s="1"/>
  <c r="A70" i="6" s="1"/>
  <c r="A71" i="6" s="1"/>
  <c r="A72" i="6" s="1"/>
  <c r="M61" i="11"/>
  <c r="G53" i="11"/>
  <c r="M53" i="11" s="1"/>
  <c r="F68" i="34"/>
  <c r="F84" i="34" s="1"/>
  <c r="F87" i="34" s="1"/>
  <c r="I69" i="34"/>
  <c r="I85" i="34" s="1"/>
  <c r="F235" i="34"/>
  <c r="I68" i="34"/>
  <c r="I84" i="34" s="1"/>
  <c r="I87" i="34" s="1"/>
  <c r="F69" i="34"/>
  <c r="F85" i="34" s="1"/>
  <c r="H157" i="34"/>
  <c r="H173" i="34" s="1"/>
  <c r="H156" i="34"/>
  <c r="H172" i="34" s="1"/>
  <c r="C157" i="34"/>
  <c r="C173" i="34" s="1"/>
  <c r="M57" i="11"/>
  <c r="C155" i="34"/>
  <c r="C171" i="34" s="1"/>
  <c r="C174" i="34" s="1"/>
  <c r="I156" i="34"/>
  <c r="I172" i="34" s="1"/>
  <c r="I155" i="34"/>
  <c r="I171" i="34" s="1"/>
  <c r="I174" i="34" s="1"/>
  <c r="E93" i="2"/>
  <c r="G220" i="34"/>
  <c r="G236" i="34" s="1"/>
  <c r="G219" i="34"/>
  <c r="G235" i="34" s="1"/>
  <c r="D36" i="5"/>
  <c r="J153" i="34"/>
  <c r="E155" i="34"/>
  <c r="E171" i="34" s="1"/>
  <c r="E174" i="34" s="1"/>
  <c r="E156" i="34"/>
  <c r="E172" i="34" s="1"/>
  <c r="G69" i="34"/>
  <c r="G85" i="34" s="1"/>
  <c r="E235" i="34"/>
  <c r="J66" i="34"/>
  <c r="J68" i="34" s="1"/>
  <c r="J84" i="34" s="1"/>
  <c r="J87" i="34" s="1"/>
  <c r="A57" i="39"/>
  <c r="B57" i="39"/>
  <c r="E239" i="2"/>
  <c r="G25" i="41"/>
  <c r="I24" i="41"/>
  <c r="L24" i="41" s="1"/>
  <c r="E21" i="13"/>
  <c r="E21" i="20"/>
  <c r="J207" i="34"/>
  <c r="E59" i="11"/>
  <c r="A54" i="11"/>
  <c r="A55" i="11" s="1"/>
  <c r="A30" i="34"/>
  <c r="A31" i="34" s="1"/>
  <c r="G27" i="35"/>
  <c r="I26" i="35"/>
  <c r="E66" i="34"/>
  <c r="E70" i="34" s="1"/>
  <c r="E86" i="34" s="1"/>
  <c r="J230" i="34"/>
  <c r="J214" i="34"/>
  <c r="J219" i="34" s="1"/>
  <c r="G70" i="34"/>
  <c r="G86" i="34" s="1"/>
  <c r="H235" i="34"/>
  <c r="C53" i="11"/>
  <c r="A42" i="5"/>
  <c r="A43" i="5" s="1"/>
  <c r="A44" i="5" s="1"/>
  <c r="A47" i="5" s="1"/>
  <c r="A49" i="5" s="1"/>
  <c r="B42" i="2"/>
  <c r="G65" i="11"/>
  <c r="G68" i="11" s="1"/>
  <c r="M68" i="11" s="1"/>
  <c r="M63" i="11"/>
  <c r="J234" i="34"/>
  <c r="J237" i="34" s="1"/>
  <c r="G267" i="2"/>
  <c r="H69" i="34"/>
  <c r="H85" i="34" s="1"/>
  <c r="B55" i="39"/>
  <c r="H70" i="34"/>
  <c r="H86" i="34" s="1"/>
  <c r="A73" i="6" l="1"/>
  <c r="A74" i="6" s="1"/>
  <c r="A75" i="6"/>
  <c r="A76" i="6" s="1"/>
  <c r="A77" i="6" s="1"/>
  <c r="A78" i="6" s="1"/>
  <c r="A79" i="6" s="1"/>
  <c r="A80" i="6" s="1"/>
  <c r="A81" i="6" s="1"/>
  <c r="G55" i="11"/>
  <c r="G58" i="11" s="1"/>
  <c r="M58" i="11" s="1"/>
  <c r="D44" i="5"/>
  <c r="E94" i="2"/>
  <c r="C55" i="11"/>
  <c r="B31" i="34"/>
  <c r="J70" i="34"/>
  <c r="J86" i="34" s="1"/>
  <c r="J155" i="34"/>
  <c r="J171" i="34" s="1"/>
  <c r="J174" i="34" s="1"/>
  <c r="J156" i="34"/>
  <c r="J172" i="34" s="1"/>
  <c r="J157" i="34"/>
  <c r="J173" i="34" s="1"/>
  <c r="L261" i="2"/>
  <c r="L264" i="2" s="1"/>
  <c r="J210" i="34"/>
  <c r="J215" i="34" s="1"/>
  <c r="J220" i="34" s="1"/>
  <c r="L26" i="35"/>
  <c r="G268" i="2"/>
  <c r="J235" i="34"/>
  <c r="G28" i="35"/>
  <c r="I27" i="35"/>
  <c r="L27" i="35" s="1"/>
  <c r="C56" i="11"/>
  <c r="A56" i="11"/>
  <c r="A60" i="39"/>
  <c r="A63" i="39" s="1"/>
  <c r="A64" i="39" s="1"/>
  <c r="A65" i="39" s="1"/>
  <c r="A66" i="39" s="1"/>
  <c r="A68" i="39" s="1"/>
  <c r="D249" i="2"/>
  <c r="H267" i="2"/>
  <c r="J267" i="2" s="1"/>
  <c r="L267" i="2" s="1"/>
  <c r="L270" i="2" s="1"/>
  <c r="A50" i="5"/>
  <c r="A51" i="5" s="1"/>
  <c r="B43" i="2"/>
  <c r="E68" i="34"/>
  <c r="E84" i="34" s="1"/>
  <c r="E87" i="34" s="1"/>
  <c r="E69" i="34"/>
  <c r="E85" i="34" s="1"/>
  <c r="A32" i="34"/>
  <c r="B32" i="34"/>
  <c r="G26" i="41"/>
  <c r="I25" i="41"/>
  <c r="L25" i="41" s="1"/>
  <c r="J69" i="34"/>
  <c r="J85" i="34" s="1"/>
  <c r="A52" i="5" l="1"/>
  <c r="E95" i="2" s="1"/>
  <c r="L268" i="2"/>
  <c r="H268" i="2"/>
  <c r="B45" i="2"/>
  <c r="B63" i="2" s="1"/>
  <c r="E45" i="2"/>
  <c r="G269" i="2"/>
  <c r="J236" i="34"/>
  <c r="G27" i="41"/>
  <c r="I26" i="41"/>
  <c r="L26" i="41" s="1"/>
  <c r="A34" i="34"/>
  <c r="D321" i="2"/>
  <c r="C57" i="11"/>
  <c r="A57" i="11"/>
  <c r="I28" i="35"/>
  <c r="L28" i="35" s="1"/>
  <c r="G29" i="35"/>
  <c r="D51" i="5"/>
  <c r="A74" i="39"/>
  <c r="A75" i="39" s="1"/>
  <c r="B50" i="39"/>
  <c r="A35" i="34" l="1"/>
  <c r="A58" i="11"/>
  <c r="C58" i="11"/>
  <c r="I27" i="41"/>
  <c r="L27" i="41" s="1"/>
  <c r="G28" i="41"/>
  <c r="E240" i="2"/>
  <c r="A76" i="39"/>
  <c r="B76" i="39"/>
  <c r="G30" i="35"/>
  <c r="I29" i="35"/>
  <c r="L269" i="2"/>
  <c r="H269" i="2"/>
  <c r="C75" i="13"/>
  <c r="B64" i="2"/>
  <c r="B65" i="2" s="1"/>
  <c r="E212" i="2"/>
  <c r="C75" i="20"/>
  <c r="B66" i="2" l="1"/>
  <c r="B67" i="2" s="1"/>
  <c r="A36" i="34"/>
  <c r="A37" i="34" s="1"/>
  <c r="G29" i="41"/>
  <c r="I28" i="41"/>
  <c r="L28" i="41" s="1"/>
  <c r="L29" i="35"/>
  <c r="G31" i="35"/>
  <c r="I30" i="35"/>
  <c r="L30" i="35" s="1"/>
  <c r="C59" i="11"/>
  <c r="A59" i="11"/>
  <c r="A61" i="11" s="1"/>
  <c r="A62" i="11" s="1"/>
  <c r="A63" i="11" s="1"/>
  <c r="B70" i="2" l="1"/>
  <c r="B72" i="2" s="1"/>
  <c r="B73" i="2" s="1"/>
  <c r="E70" i="2"/>
  <c r="B37" i="34"/>
  <c r="I29" i="41"/>
  <c r="L29" i="41" s="1"/>
  <c r="G30" i="41"/>
  <c r="G32" i="35"/>
  <c r="I31" i="35"/>
  <c r="L31" i="35" s="1"/>
  <c r="A38" i="34"/>
  <c r="B38" i="34"/>
  <c r="A64" i="11"/>
  <c r="A65" i="11" s="1"/>
  <c r="C65" i="11" l="1"/>
  <c r="B74" i="2"/>
  <c r="B75" i="2" s="1"/>
  <c r="C66" i="11"/>
  <c r="A66" i="11"/>
  <c r="A67" i="11" s="1"/>
  <c r="C68" i="11" s="1"/>
  <c r="G31" i="41"/>
  <c r="I30" i="41"/>
  <c r="L30" i="41" s="1"/>
  <c r="I32" i="35"/>
  <c r="G39" i="35"/>
  <c r="G36" i="35"/>
  <c r="A40" i="34"/>
  <c r="A41" i="34" l="1"/>
  <c r="L32" i="35"/>
  <c r="L33" i="35" s="1"/>
  <c r="E36" i="35" s="1"/>
  <c r="I36" i="35" s="1"/>
  <c r="I33" i="35"/>
  <c r="G32" i="41"/>
  <c r="I31" i="41"/>
  <c r="L31" i="41" s="1"/>
  <c r="B76" i="2"/>
  <c r="B77" i="2" s="1"/>
  <c r="G40" i="35"/>
  <c r="C67" i="11"/>
  <c r="A68" i="11"/>
  <c r="E83" i="2"/>
  <c r="E84" i="2" l="1"/>
  <c r="I32" i="41"/>
  <c r="G39" i="41"/>
  <c r="G36" i="41"/>
  <c r="G41" i="35"/>
  <c r="A42" i="34"/>
  <c r="A43" i="34" s="1"/>
  <c r="B80" i="2"/>
  <c r="B82" i="2" s="1"/>
  <c r="B83" i="2" s="1"/>
  <c r="E85" i="2"/>
  <c r="E80" i="2"/>
  <c r="L36" i="35"/>
  <c r="C69" i="11"/>
  <c r="A69" i="11"/>
  <c r="B43" i="34" l="1"/>
  <c r="E39" i="35"/>
  <c r="J39" i="35"/>
  <c r="L32" i="41"/>
  <c r="L33" i="41" s="1"/>
  <c r="E36" i="41" s="1"/>
  <c r="I36" i="41" s="1"/>
  <c r="I33" i="41"/>
  <c r="G42" i="35"/>
  <c r="C64" i="13"/>
  <c r="B84" i="2"/>
  <c r="B85" i="2" s="1"/>
  <c r="B87" i="2" s="1"/>
  <c r="C48" i="11" s="1"/>
  <c r="C64" i="20"/>
  <c r="A44" i="34"/>
  <c r="B44" i="34"/>
  <c r="G40" i="41"/>
  <c r="J40" i="35" l="1"/>
  <c r="J41" i="35" s="1"/>
  <c r="J42" i="35" s="1"/>
  <c r="J43" i="35" s="1"/>
  <c r="J44" i="35" s="1"/>
  <c r="J45" i="35" s="1"/>
  <c r="J46" i="35" s="1"/>
  <c r="J47" i="35" s="1"/>
  <c r="J48" i="35" s="1"/>
  <c r="J49" i="35" s="1"/>
  <c r="J50" i="35" s="1"/>
  <c r="G43" i="35"/>
  <c r="G41" i="41"/>
  <c r="E87" i="2"/>
  <c r="L39" i="35"/>
  <c r="E40" i="35" s="1"/>
  <c r="I39" i="35"/>
  <c r="A46" i="34"/>
  <c r="B90" i="2"/>
  <c r="B91" i="2" s="1"/>
  <c r="L36" i="41"/>
  <c r="G42" i="41" l="1"/>
  <c r="A47" i="34"/>
  <c r="L40" i="35"/>
  <c r="E41" i="35" s="1"/>
  <c r="I40" i="35"/>
  <c r="E39" i="41"/>
  <c r="J39" i="41"/>
  <c r="B92" i="2"/>
  <c r="B93" i="2" s="1"/>
  <c r="B94" i="2" s="1"/>
  <c r="B95" i="2" s="1"/>
  <c r="B96" i="2" s="1"/>
  <c r="G44" i="35"/>
  <c r="J53" i="35"/>
  <c r="J55" i="35" s="1"/>
  <c r="J40" i="41" l="1"/>
  <c r="J41" i="41" s="1"/>
  <c r="J42" i="41" s="1"/>
  <c r="J43" i="41" s="1"/>
  <c r="J44" i="41" s="1"/>
  <c r="J45" i="41" s="1"/>
  <c r="J46" i="41" s="1"/>
  <c r="J47" i="41" s="1"/>
  <c r="J48" i="41" s="1"/>
  <c r="J49" i="41" s="1"/>
  <c r="J50" i="41" s="1"/>
  <c r="B98" i="2"/>
  <c r="B100" i="2" s="1"/>
  <c r="B102" i="2" s="1"/>
  <c r="B104" i="2" s="1"/>
  <c r="B105" i="2" s="1"/>
  <c r="L39" i="41"/>
  <c r="E40" i="41" s="1"/>
  <c r="I39" i="41"/>
  <c r="E96" i="2"/>
  <c r="A48" i="34"/>
  <c r="A49" i="34" s="1"/>
  <c r="L41" i="35"/>
  <c r="E42" i="35" s="1"/>
  <c r="I41" i="35"/>
  <c r="G43" i="41"/>
  <c r="G45" i="35"/>
  <c r="B49" i="34" l="1"/>
  <c r="J53" i="41"/>
  <c r="J55" i="41" s="1"/>
  <c r="A50" i="34"/>
  <c r="B52" i="34"/>
  <c r="B50" i="34"/>
  <c r="G46" i="35"/>
  <c r="L42" i="35"/>
  <c r="E43" i="35" s="1"/>
  <c r="I42" i="35"/>
  <c r="L40" i="41"/>
  <c r="E41" i="41" s="1"/>
  <c r="I40" i="41"/>
  <c r="G44" i="41"/>
  <c r="B106" i="2"/>
  <c r="B108" i="2" s="1"/>
  <c r="B109" i="2" s="1"/>
  <c r="B110" i="2" s="1"/>
  <c r="B111" i="2" s="1"/>
  <c r="B112" i="2" s="1"/>
  <c r="B113" i="2" s="1"/>
  <c r="B114" i="2" s="1"/>
  <c r="E114" i="2" l="1"/>
  <c r="L41" i="41"/>
  <c r="E42" i="41" s="1"/>
  <c r="I41" i="41"/>
  <c r="B116" i="2"/>
  <c r="D118" i="2" s="1"/>
  <c r="G45" i="41"/>
  <c r="G47" i="35"/>
  <c r="L43" i="35"/>
  <c r="E44" i="35" s="1"/>
  <c r="I43" i="35"/>
  <c r="A52" i="34"/>
  <c r="B53" i="34"/>
  <c r="B57" i="34" l="1"/>
  <c r="A53" i="34"/>
  <c r="B64" i="34"/>
  <c r="G48" i="35"/>
  <c r="L42" i="41"/>
  <c r="E43" i="41" s="1"/>
  <c r="I42" i="41"/>
  <c r="L44" i="35"/>
  <c r="E45" i="35" s="1"/>
  <c r="I44" i="35"/>
  <c r="B118" i="2"/>
  <c r="D317" i="2"/>
  <c r="G46" i="41"/>
  <c r="B80" i="34" l="1"/>
  <c r="B203" i="34"/>
  <c r="A56" i="34"/>
  <c r="G47" i="41"/>
  <c r="L43" i="41"/>
  <c r="E44" i="41" s="1"/>
  <c r="I43" i="41"/>
  <c r="C28" i="13"/>
  <c r="C28" i="20"/>
  <c r="B133" i="2"/>
  <c r="L45" i="35"/>
  <c r="E46" i="35" s="1"/>
  <c r="I45" i="35"/>
  <c r="G49" i="35"/>
  <c r="L46" i="35" l="1"/>
  <c r="E47" i="35" s="1"/>
  <c r="I46" i="35"/>
  <c r="L44" i="41"/>
  <c r="E45" i="41" s="1"/>
  <c r="I44" i="41"/>
  <c r="A57" i="34"/>
  <c r="A58" i="34" s="1"/>
  <c r="G50" i="35"/>
  <c r="B134" i="2"/>
  <c r="B135" i="2" s="1"/>
  <c r="E136" i="2" s="1"/>
  <c r="G48" i="41"/>
  <c r="L45" i="41" l="1"/>
  <c r="E46" i="41" s="1"/>
  <c r="I45" i="41"/>
  <c r="G49" i="41"/>
  <c r="B136" i="2"/>
  <c r="B137" i="2" s="1"/>
  <c r="A59" i="34"/>
  <c r="L47" i="35"/>
  <c r="E48" i="35" s="1"/>
  <c r="I47" i="35"/>
  <c r="L48" i="35" l="1"/>
  <c r="E49" i="35" s="1"/>
  <c r="I48" i="35"/>
  <c r="A60" i="34"/>
  <c r="E41" i="2"/>
  <c r="B138" i="2"/>
  <c r="B139" i="2" s="1"/>
  <c r="D312" i="2"/>
  <c r="G50" i="41"/>
  <c r="L46" i="41"/>
  <c r="E47" i="41" s="1"/>
  <c r="I46" i="41"/>
  <c r="E140" i="2" l="1"/>
  <c r="L49" i="35"/>
  <c r="E50" i="35" s="1"/>
  <c r="I49" i="35"/>
  <c r="L47" i="41"/>
  <c r="E48" i="41" s="1"/>
  <c r="I47" i="41"/>
  <c r="D314" i="2"/>
  <c r="B140" i="2"/>
  <c r="A63" i="34"/>
  <c r="B65" i="34"/>
  <c r="A64" i="34" l="1"/>
  <c r="D311" i="2"/>
  <c r="E105" i="2"/>
  <c r="B142" i="2"/>
  <c r="L50" i="35"/>
  <c r="I50" i="35"/>
  <c r="I51" i="35" s="1"/>
  <c r="L48" i="41"/>
  <c r="E49" i="41" s="1"/>
  <c r="I48" i="41"/>
  <c r="L49" i="41" l="1"/>
  <c r="E50" i="41" s="1"/>
  <c r="I49" i="41"/>
  <c r="B143" i="2"/>
  <c r="A65" i="34"/>
  <c r="A66" i="34" l="1"/>
  <c r="B70" i="34" s="1"/>
  <c r="L50" i="41"/>
  <c r="I50" i="41"/>
  <c r="I51" i="41" s="1"/>
  <c r="E148" i="2"/>
  <c r="B144" i="2"/>
  <c r="B145" i="2" s="1"/>
  <c r="B146" i="2" s="1"/>
  <c r="B147" i="2" l="1"/>
  <c r="E147" i="2"/>
  <c r="A68" i="34"/>
  <c r="B68" i="34"/>
  <c r="B69" i="34"/>
  <c r="B148" i="2" l="1"/>
  <c r="B149" i="2" s="1"/>
  <c r="B150" i="2" s="1"/>
  <c r="B151" i="2" s="1"/>
  <c r="B152" i="2" s="1"/>
  <c r="B154" i="2" s="1"/>
  <c r="A69" i="34"/>
  <c r="B156" i="2" l="1"/>
  <c r="D315" i="2"/>
  <c r="E156" i="2"/>
  <c r="E154" i="2"/>
  <c r="A70" i="34"/>
  <c r="B157" i="2" l="1"/>
  <c r="A72" i="34"/>
  <c r="A74" i="34" s="1"/>
  <c r="A75" i="34" s="1"/>
  <c r="A76" i="34" s="1"/>
  <c r="A79" i="34" s="1"/>
  <c r="C48" i="13" l="1"/>
  <c r="D330" i="2"/>
  <c r="E27" i="2"/>
  <c r="C48" i="20"/>
  <c r="B158" i="2"/>
  <c r="D328" i="2"/>
  <c r="D325" i="2"/>
  <c r="A80" i="34"/>
  <c r="B84" i="34"/>
  <c r="E158" i="2"/>
  <c r="B160" i="2" l="1"/>
  <c r="B161" i="2" s="1"/>
  <c r="A81" i="34"/>
  <c r="B85" i="34"/>
  <c r="A84" i="34" l="1"/>
  <c r="A85" i="34" s="1"/>
  <c r="A86" i="34" s="1"/>
  <c r="A87" i="34" s="1"/>
  <c r="A96" i="34" s="1"/>
  <c r="B86" i="34"/>
  <c r="C59" i="13"/>
  <c r="C76" i="13"/>
  <c r="B162" i="2"/>
  <c r="B163" i="2" s="1"/>
  <c r="B165" i="2" s="1"/>
  <c r="C76" i="20"/>
  <c r="C59" i="20"/>
  <c r="E31" i="2"/>
  <c r="E165" i="2" l="1"/>
  <c r="A97" i="34"/>
  <c r="B183" i="34"/>
  <c r="B167" i="2"/>
  <c r="B168" i="2" s="1"/>
  <c r="B169" i="2" s="1"/>
  <c r="A98" i="34" l="1"/>
  <c r="B184" i="34"/>
  <c r="B170" i="2"/>
  <c r="B171" i="2" s="1"/>
  <c r="B172" i="2" s="1"/>
  <c r="B173" i="2" s="1"/>
  <c r="B174" i="2" s="1"/>
  <c r="E174" i="2" l="1"/>
  <c r="A99" i="34"/>
  <c r="B185" i="34"/>
  <c r="B176" i="2"/>
  <c r="B177" i="2" s="1"/>
  <c r="D181" i="2" l="1"/>
  <c r="B178" i="2"/>
  <c r="B186" i="34"/>
  <c r="A100" i="34"/>
  <c r="A101" i="34" s="1"/>
  <c r="B150" i="34" l="1"/>
  <c r="A103" i="34"/>
  <c r="C35" i="13"/>
  <c r="C35" i="20"/>
  <c r="B179" i="2"/>
  <c r="B180" i="2" s="1"/>
  <c r="B181" i="2" s="1"/>
  <c r="B182" i="2" l="1"/>
  <c r="A106" i="34"/>
  <c r="A107" i="34" s="1"/>
  <c r="A108" i="34" s="1"/>
  <c r="A109" i="34" s="1"/>
  <c r="A110" i="34" s="1"/>
  <c r="A111" i="34" s="1"/>
  <c r="A112" i="34" s="1"/>
  <c r="B100" i="34"/>
  <c r="D355" i="2" l="1"/>
  <c r="B183" i="2"/>
  <c r="E186" i="2"/>
  <c r="A115" i="34"/>
  <c r="B166" i="34"/>
  <c r="A116" i="34" l="1"/>
  <c r="B184" i="2"/>
  <c r="E187" i="2"/>
  <c r="B185" i="2" l="1"/>
  <c r="E188" i="2"/>
  <c r="A117" i="34"/>
  <c r="A118" i="34" s="1"/>
  <c r="B186" i="2" l="1"/>
  <c r="B187" i="2" s="1"/>
  <c r="B188" i="2" s="1"/>
  <c r="B189" i="2" s="1"/>
  <c r="A119" i="34"/>
  <c r="B119" i="34"/>
  <c r="B118" i="34"/>
  <c r="C50" i="13" l="1"/>
  <c r="C50" i="20"/>
  <c r="B191" i="2"/>
  <c r="E34" i="2" s="1"/>
  <c r="A121" i="34"/>
  <c r="E189" i="2"/>
  <c r="A122" i="34" l="1"/>
  <c r="C49" i="13"/>
  <c r="C49" i="20"/>
  <c r="B193" i="2"/>
  <c r="E185" i="2"/>
  <c r="B195" i="2" l="1"/>
  <c r="D319" i="2"/>
  <c r="A123" i="34"/>
  <c r="A124" i="34" s="1"/>
  <c r="B124" i="34" l="1"/>
  <c r="A125" i="34"/>
  <c r="B125" i="34"/>
  <c r="D197" i="2"/>
  <c r="B197" i="2"/>
  <c r="A127" i="34" l="1"/>
  <c r="B199" i="2"/>
  <c r="D200" i="2"/>
  <c r="B212" i="2" l="1"/>
  <c r="E13" i="2"/>
  <c r="A128" i="34"/>
  <c r="B213" i="2" l="1"/>
  <c r="B214" i="2" s="1"/>
  <c r="B215" i="2" s="1"/>
  <c r="A129" i="34"/>
  <c r="A130" i="34" s="1"/>
  <c r="B130" i="34" l="1"/>
  <c r="E215" i="2"/>
  <c r="A131" i="34"/>
  <c r="B131" i="34"/>
  <c r="B217" i="2"/>
  <c r="B226" i="2" s="1"/>
  <c r="B227" i="2" s="1"/>
  <c r="B228" i="2" s="1"/>
  <c r="E63" i="2"/>
  <c r="E217" i="2"/>
  <c r="B229" i="2" l="1"/>
  <c r="B231" i="2" s="1"/>
  <c r="B232" i="2" s="1"/>
  <c r="B233" i="2" s="1"/>
  <c r="B235" i="2" s="1"/>
  <c r="B238" i="2" s="1"/>
  <c r="B239" i="2" s="1"/>
  <c r="A133" i="34"/>
  <c r="A134" i="34" l="1"/>
  <c r="B240" i="2"/>
  <c r="B241" i="2" s="1"/>
  <c r="B242" i="2" s="1"/>
  <c r="E233" i="2"/>
  <c r="B243" i="2" l="1"/>
  <c r="A135" i="34"/>
  <c r="A136" i="34" s="1"/>
  <c r="B136" i="34" l="1"/>
  <c r="A137" i="34"/>
  <c r="B139" i="34"/>
  <c r="B137" i="34"/>
  <c r="B244" i="2"/>
  <c r="B245" i="2" s="1"/>
  <c r="B246" i="2" s="1"/>
  <c r="D250" i="2"/>
  <c r="D251" i="2" l="1"/>
  <c r="B249" i="2"/>
  <c r="A139" i="34"/>
  <c r="B140" i="34"/>
  <c r="E246" i="2"/>
  <c r="A140" i="34" l="1"/>
  <c r="B151" i="34"/>
  <c r="B144" i="34"/>
  <c r="B202" i="34"/>
  <c r="B250" i="2"/>
  <c r="B251" i="2" s="1"/>
  <c r="C19" i="13" s="1"/>
  <c r="C19" i="20" l="1"/>
  <c r="D252" i="2"/>
  <c r="C16" i="13"/>
  <c r="B252" i="2"/>
  <c r="C16" i="20"/>
  <c r="A143" i="34"/>
  <c r="B167" i="34"/>
  <c r="A144" i="34" l="1"/>
  <c r="A145" i="34" s="1"/>
  <c r="B206" i="34"/>
  <c r="B254" i="2"/>
  <c r="B256" i="2"/>
  <c r="B257" i="2" s="1"/>
  <c r="B258" i="2" s="1"/>
  <c r="B259" i="2" s="1"/>
  <c r="B260" i="2" s="1"/>
  <c r="E191" i="2"/>
  <c r="D179" i="2"/>
  <c r="B261" i="2" l="1"/>
  <c r="B262" i="2" s="1"/>
  <c r="B263" i="2" s="1"/>
  <c r="B264" i="2" s="1"/>
  <c r="B266" i="2" s="1"/>
  <c r="B267" i="2" s="1"/>
  <c r="B268" i="2" s="1"/>
  <c r="B269" i="2" s="1"/>
  <c r="B270" i="2" s="1"/>
  <c r="A146" i="34"/>
  <c r="B208" i="34"/>
  <c r="E264" i="2" l="1"/>
  <c r="A147" i="34"/>
  <c r="B209" i="34"/>
  <c r="A150" i="34" l="1"/>
  <c r="B152" i="34"/>
  <c r="A151" i="34" l="1"/>
  <c r="A152" i="34" l="1"/>
  <c r="A153" i="34" l="1"/>
  <c r="B157" i="34" s="1"/>
  <c r="A155" i="34" l="1"/>
  <c r="B155" i="34"/>
  <c r="B156" i="34"/>
  <c r="A156" i="34" l="1"/>
  <c r="A157" i="34" l="1"/>
  <c r="A159" i="34" l="1"/>
  <c r="A161" i="34" s="1"/>
  <c r="A162" i="34" s="1"/>
  <c r="A163" i="34" s="1"/>
  <c r="A166" i="34" s="1"/>
  <c r="A167" i="34" l="1"/>
  <c r="B171" i="34"/>
  <c r="A168" i="34" l="1"/>
  <c r="B172" i="34"/>
  <c r="A171" i="34" l="1"/>
  <c r="A172" i="34" s="1"/>
  <c r="A173" i="34" s="1"/>
  <c r="A174" i="34" s="1"/>
  <c r="A183" i="34" s="1"/>
  <c r="A184" i="34" s="1"/>
  <c r="A185" i="34" s="1"/>
  <c r="A186" i="34" s="1"/>
  <c r="A187" i="34" s="1"/>
  <c r="A188" i="34" s="1"/>
  <c r="B173" i="34"/>
  <c r="A190" i="34" l="1"/>
  <c r="B213" i="34"/>
  <c r="B187" i="34" l="1"/>
  <c r="A193" i="34"/>
  <c r="A194" i="34" s="1"/>
  <c r="A195" i="34" s="1"/>
  <c r="A196" i="34" s="1"/>
  <c r="A197" i="34" s="1"/>
  <c r="A198" i="34" s="1"/>
  <c r="A199" i="34" s="1"/>
  <c r="E257" i="2" l="1"/>
  <c r="A202" i="34"/>
  <c r="B229" i="34"/>
  <c r="B214" i="34" l="1"/>
  <c r="B207" i="34"/>
  <c r="A203" i="34"/>
  <c r="E258" i="2" l="1"/>
  <c r="B230" i="34"/>
  <c r="A206" i="34"/>
  <c r="A207" i="34" l="1"/>
  <c r="E260" i="2"/>
  <c r="A208" i="34" l="1"/>
  <c r="E261" i="2"/>
  <c r="A209" i="34" l="1"/>
  <c r="E262" i="2"/>
  <c r="A210" i="34" l="1"/>
  <c r="E263" i="2"/>
  <c r="A213" i="34" l="1"/>
  <c r="B215" i="34"/>
  <c r="D267" i="2" l="1"/>
  <c r="A214" i="34"/>
  <c r="D268" i="2" l="1"/>
  <c r="A215" i="34"/>
  <c r="D269" i="2" l="1"/>
  <c r="A216" i="34"/>
  <c r="B220" i="34" s="1"/>
  <c r="D270" i="2" l="1"/>
  <c r="A218" i="34"/>
  <c r="B218" i="34"/>
  <c r="B219" i="34"/>
  <c r="A219" i="34" l="1"/>
  <c r="A220" i="34" l="1"/>
  <c r="A222" i="34" l="1"/>
  <c r="A224" i="34" s="1"/>
  <c r="A225" i="34" s="1"/>
  <c r="A226" i="34" s="1"/>
  <c r="A229" i="34" s="1"/>
  <c r="A230" i="34" l="1"/>
  <c r="B234" i="34"/>
  <c r="A231" i="34" l="1"/>
  <c r="B235" i="34"/>
  <c r="A234" i="34" l="1"/>
  <c r="A235" i="34" s="1"/>
  <c r="A236" i="34" s="1"/>
  <c r="A237" i="34" s="1"/>
  <c r="B236" i="34"/>
  <c r="O975" i="13" l="1"/>
  <c r="O974" i="13"/>
  <c r="L171" i="2" l="1"/>
  <c r="F357" i="2" l="1"/>
  <c r="G177" i="2" s="1"/>
  <c r="G181" i="2" l="1"/>
  <c r="G186" i="2" l="1"/>
  <c r="F62" i="38" l="1"/>
  <c r="C64" i="38" s="1"/>
  <c r="L73" i="2" s="1"/>
  <c r="J73" i="2" l="1"/>
  <c r="D41" i="37" l="1"/>
  <c r="J41" i="37"/>
  <c r="J51" i="37" s="1"/>
  <c r="E41" i="5" l="1"/>
  <c r="F42" i="37"/>
  <c r="F51" i="37" s="1"/>
  <c r="G41" i="37"/>
  <c r="E43" i="5"/>
  <c r="I43" i="5" l="1"/>
  <c r="I41" i="5"/>
  <c r="D42" i="37"/>
  <c r="D51" i="37" s="1"/>
  <c r="E44" i="5"/>
  <c r="I44" i="5" l="1"/>
  <c r="L94" i="2" s="1"/>
  <c r="L96" i="2" s="1"/>
  <c r="G94" i="2"/>
  <c r="G96" i="2" s="1"/>
  <c r="G118" i="2" s="1"/>
  <c r="G42" i="37"/>
  <c r="G51" i="37" s="1"/>
  <c r="G188" i="2" l="1"/>
  <c r="G187" i="2" l="1"/>
  <c r="E62" i="38" l="1"/>
  <c r="L213" i="2" s="1"/>
  <c r="L215" i="2" s="1"/>
  <c r="L63" i="2" l="1"/>
  <c r="L217" i="2"/>
  <c r="J140" i="2" l="1"/>
  <c r="J228" i="2"/>
  <c r="L228" i="2" s="1"/>
  <c r="L233" i="2" s="1"/>
  <c r="L235" i="2" s="1"/>
  <c r="J161" i="2"/>
  <c r="L161" i="2" s="1"/>
  <c r="J150" i="2"/>
  <c r="L150" i="2" s="1"/>
  <c r="J74" i="2"/>
  <c r="L74" i="2" s="1"/>
  <c r="J149" i="2"/>
  <c r="L149" i="2" s="1"/>
  <c r="G75" i="20"/>
  <c r="H75" i="13"/>
  <c r="J71" i="2"/>
  <c r="F59" i="13" l="1"/>
  <c r="H76" i="13"/>
  <c r="H77" i="13" s="1"/>
  <c r="H78" i="13" s="1"/>
  <c r="H79" i="13" s="1"/>
  <c r="G76" i="20"/>
  <c r="G77" i="20" s="1"/>
  <c r="G78" i="20" s="1"/>
  <c r="G79" i="20" s="1"/>
  <c r="G59" i="20"/>
  <c r="J67" i="2"/>
  <c r="L67" i="2" s="1"/>
  <c r="J110" i="2"/>
  <c r="L110" i="2" s="1"/>
  <c r="J108" i="2"/>
  <c r="L108" i="2" s="1"/>
  <c r="J66" i="2"/>
  <c r="L66" i="2" s="1"/>
  <c r="J77" i="2"/>
  <c r="L77" i="2" s="1"/>
  <c r="J102" i="2"/>
  <c r="L102" i="2" s="1"/>
  <c r="J76" i="2"/>
  <c r="L76" i="2" s="1"/>
  <c r="J65" i="2"/>
  <c r="L65" i="2" s="1"/>
  <c r="J162" i="2"/>
  <c r="L162" i="2" s="1"/>
  <c r="J169" i="2"/>
  <c r="L169" i="2" s="1"/>
  <c r="J163" i="2"/>
  <c r="L163" i="2" s="1"/>
  <c r="J75" i="2"/>
  <c r="L75" i="2" s="1"/>
  <c r="J147" i="2"/>
  <c r="L147" i="2" s="1"/>
  <c r="J152" i="2"/>
  <c r="L152" i="2" s="1"/>
  <c r="L140" i="2"/>
  <c r="L105" i="2" s="1"/>
  <c r="J106" i="2"/>
  <c r="L106" i="2" s="1"/>
  <c r="J64" i="2"/>
  <c r="L64" i="2" s="1"/>
  <c r="L165" i="2" l="1"/>
  <c r="L84" i="2"/>
  <c r="L80" i="2"/>
  <c r="L85" i="2"/>
  <c r="D722" i="20"/>
  <c r="I723" i="20" s="1"/>
  <c r="E726" i="20" s="1"/>
  <c r="F726" i="20" s="1"/>
  <c r="D727" i="20" s="1"/>
  <c r="E727" i="20" s="1"/>
  <c r="F727" i="20" s="1"/>
  <c r="D728" i="20" s="1"/>
  <c r="E728" i="20" s="1"/>
  <c r="F728" i="20" s="1"/>
  <c r="D729" i="20" s="1"/>
  <c r="E729" i="20" s="1"/>
  <c r="F729" i="20" s="1"/>
  <c r="D730" i="20" s="1"/>
  <c r="E730" i="20" s="1"/>
  <c r="F730" i="20" s="1"/>
  <c r="D731" i="20" s="1"/>
  <c r="E731" i="20" s="1"/>
  <c r="F731" i="20" s="1"/>
  <c r="D732" i="20" s="1"/>
  <c r="E732" i="20" s="1"/>
  <c r="F732" i="20" s="1"/>
  <c r="D733" i="20" s="1"/>
  <c r="E733" i="20" s="1"/>
  <c r="F733" i="20" s="1"/>
  <c r="D734" i="20" s="1"/>
  <c r="E734" i="20" s="1"/>
  <c r="F734" i="20" s="1"/>
  <c r="D735" i="20" s="1"/>
  <c r="E735" i="20" s="1"/>
  <c r="F735" i="20" s="1"/>
  <c r="D736" i="20" s="1"/>
  <c r="E736" i="20" s="1"/>
  <c r="F736" i="20" s="1"/>
  <c r="D737" i="20" s="1"/>
  <c r="E737" i="20" s="1"/>
  <c r="F737" i="20" s="1"/>
  <c r="D738" i="20" s="1"/>
  <c r="E738" i="20" s="1"/>
  <c r="F738" i="20" s="1"/>
  <c r="D739" i="20" s="1"/>
  <c r="E739" i="20" s="1"/>
  <c r="F739" i="20" s="1"/>
  <c r="D740" i="20" s="1"/>
  <c r="E740" i="20" s="1"/>
  <c r="F740" i="20" s="1"/>
  <c r="D741" i="20" s="1"/>
  <c r="E741" i="20" s="1"/>
  <c r="F741" i="20" s="1"/>
  <c r="D742" i="20" s="1"/>
  <c r="E742" i="20" s="1"/>
  <c r="F742" i="20" s="1"/>
  <c r="D743" i="20" s="1"/>
  <c r="E743" i="20" s="1"/>
  <c r="F743" i="20" s="1"/>
  <c r="D744" i="20" s="1"/>
  <c r="E744" i="20" s="1"/>
  <c r="F744" i="20" s="1"/>
  <c r="D745" i="20" s="1"/>
  <c r="E745" i="20" s="1"/>
  <c r="F745" i="20" s="1"/>
  <c r="D746" i="20" s="1"/>
  <c r="E746" i="20" s="1"/>
  <c r="F746" i="20" s="1"/>
  <c r="D747" i="20" s="1"/>
  <c r="E747" i="20" s="1"/>
  <c r="F747" i="20" s="1"/>
  <c r="D748" i="20" s="1"/>
  <c r="E748" i="20" s="1"/>
  <c r="F748" i="20" s="1"/>
  <c r="D749" i="20" s="1"/>
  <c r="E749" i="20" s="1"/>
  <c r="F749" i="20" s="1"/>
  <c r="D750" i="20" s="1"/>
  <c r="E750" i="20" s="1"/>
  <c r="F750" i="20" s="1"/>
  <c r="D751" i="20" s="1"/>
  <c r="E751" i="20" s="1"/>
  <c r="F751" i="20" s="1"/>
  <c r="D752" i="20" s="1"/>
  <c r="E752" i="20" s="1"/>
  <c r="F752" i="20" s="1"/>
  <c r="D753" i="20" s="1"/>
  <c r="E753" i="20" s="1"/>
  <c r="F753" i="20" s="1"/>
  <c r="D754" i="20" s="1"/>
  <c r="E754" i="20" s="1"/>
  <c r="F754" i="20" s="1"/>
  <c r="D755" i="20" s="1"/>
  <c r="E755" i="20" s="1"/>
  <c r="F755" i="20" s="1"/>
  <c r="D756" i="20" s="1"/>
  <c r="E756" i="20" s="1"/>
  <c r="F756" i="20" s="1"/>
  <c r="D757" i="20" s="1"/>
  <c r="E757" i="20" s="1"/>
  <c r="F757" i="20" s="1"/>
  <c r="D758" i="20" s="1"/>
  <c r="E758" i="20" s="1"/>
  <c r="F758" i="20" s="1"/>
  <c r="D759" i="20" s="1"/>
  <c r="E759" i="20" s="1"/>
  <c r="F759" i="20" s="1"/>
  <c r="D760" i="20" s="1"/>
  <c r="E760" i="20" s="1"/>
  <c r="F760" i="20" s="1"/>
  <c r="D761" i="20" s="1"/>
  <c r="E761" i="20" s="1"/>
  <c r="F761" i="20" s="1"/>
  <c r="D762" i="20" s="1"/>
  <c r="E762" i="20" s="1"/>
  <c r="F762" i="20" s="1"/>
  <c r="D763" i="20" s="1"/>
  <c r="E763" i="20" s="1"/>
  <c r="F763" i="20" s="1"/>
  <c r="D764" i="20" s="1"/>
  <c r="E764" i="20" s="1"/>
  <c r="F764" i="20" s="1"/>
  <c r="D765" i="20" s="1"/>
  <c r="E765" i="20" s="1"/>
  <c r="F765" i="20" s="1"/>
  <c r="D766" i="20" s="1"/>
  <c r="E766" i="20" s="1"/>
  <c r="F766" i="20" s="1"/>
  <c r="D767" i="20" s="1"/>
  <c r="E767" i="20" s="1"/>
  <c r="F767" i="20" s="1"/>
  <c r="D768" i="20" s="1"/>
  <c r="E768" i="20" s="1"/>
  <c r="F768" i="20" s="1"/>
  <c r="D769" i="20" s="1"/>
  <c r="E769" i="20" s="1"/>
  <c r="F769" i="20" s="1"/>
  <c r="D770" i="20" s="1"/>
  <c r="E770" i="20" s="1"/>
  <c r="F770" i="20" s="1"/>
  <c r="D771" i="20" s="1"/>
  <c r="E771" i="20" s="1"/>
  <c r="F771" i="20" s="1"/>
  <c r="D772" i="20" s="1"/>
  <c r="E772" i="20" s="1"/>
  <c r="F772" i="20" s="1"/>
  <c r="D773" i="20" s="1"/>
  <c r="E773" i="20" s="1"/>
  <c r="F773" i="20" s="1"/>
  <c r="D774" i="20" s="1"/>
  <c r="E774" i="20" s="1"/>
  <c r="F774" i="20" s="1"/>
  <c r="D775" i="20" s="1"/>
  <c r="E775" i="20" s="1"/>
  <c r="F775" i="20" s="1"/>
  <c r="D776" i="20" s="1"/>
  <c r="E776" i="20" s="1"/>
  <c r="F776" i="20" s="1"/>
  <c r="D777" i="20" s="1"/>
  <c r="E777" i="20" s="1"/>
  <c r="F777" i="20" s="1"/>
  <c r="D778" i="20" s="1"/>
  <c r="E778" i="20" s="1"/>
  <c r="F778" i="20" s="1"/>
  <c r="D779" i="20" s="1"/>
  <c r="E779" i="20" s="1"/>
  <c r="F779" i="20" s="1"/>
  <c r="D780" i="20" s="1"/>
  <c r="E780" i="20" s="1"/>
  <c r="F780" i="20" s="1"/>
  <c r="D781" i="20" s="1"/>
  <c r="E781" i="20" s="1"/>
  <c r="F781" i="20" s="1"/>
  <c r="D782" i="20" s="1"/>
  <c r="E782" i="20" s="1"/>
  <c r="F782" i="20" s="1"/>
  <c r="D783" i="20" s="1"/>
  <c r="E783" i="20" s="1"/>
  <c r="F783" i="20" s="1"/>
  <c r="D784" i="20" s="1"/>
  <c r="E784" i="20" s="1"/>
  <c r="F784" i="20" s="1"/>
  <c r="D785" i="20" s="1"/>
  <c r="D544" i="20"/>
  <c r="I545" i="20" s="1"/>
  <c r="E548" i="20" s="1"/>
  <c r="F548" i="20" s="1"/>
  <c r="D549" i="20" s="1"/>
  <c r="E549" i="20" s="1"/>
  <c r="F549" i="20" s="1"/>
  <c r="D550" i="20" s="1"/>
  <c r="E550" i="20" s="1"/>
  <c r="F550" i="20" s="1"/>
  <c r="D551" i="20" s="1"/>
  <c r="E551" i="20" s="1"/>
  <c r="F551" i="20" s="1"/>
  <c r="D552" i="20" s="1"/>
  <c r="E552" i="20" s="1"/>
  <c r="F552" i="20" s="1"/>
  <c r="D553" i="20" s="1"/>
  <c r="E553" i="20" s="1"/>
  <c r="F553" i="20" s="1"/>
  <c r="D554" i="20" s="1"/>
  <c r="E554" i="20" s="1"/>
  <c r="F554" i="20" s="1"/>
  <c r="D555" i="20" s="1"/>
  <c r="E555" i="20" s="1"/>
  <c r="F555" i="20" s="1"/>
  <c r="D556" i="20" s="1"/>
  <c r="E556" i="20" s="1"/>
  <c r="F556" i="20" s="1"/>
  <c r="D557" i="20" s="1"/>
  <c r="E557" i="20" s="1"/>
  <c r="F557" i="20" s="1"/>
  <c r="D558" i="20" s="1"/>
  <c r="E558" i="20" s="1"/>
  <c r="F558" i="20" s="1"/>
  <c r="D559" i="20" s="1"/>
  <c r="E559" i="20" s="1"/>
  <c r="F559" i="20" s="1"/>
  <c r="D560" i="20" s="1"/>
  <c r="E560" i="20" s="1"/>
  <c r="F560" i="20" s="1"/>
  <c r="D561" i="20" s="1"/>
  <c r="E561" i="20" s="1"/>
  <c r="F561" i="20" s="1"/>
  <c r="D562" i="20" s="1"/>
  <c r="E562" i="20" s="1"/>
  <c r="F562" i="20" s="1"/>
  <c r="D563" i="20" s="1"/>
  <c r="E563" i="20" s="1"/>
  <c r="F563" i="20" s="1"/>
  <c r="D564" i="20" s="1"/>
  <c r="E564" i="20" s="1"/>
  <c r="F564" i="20" s="1"/>
  <c r="D565" i="20" s="1"/>
  <c r="E565" i="20" s="1"/>
  <c r="F565" i="20" s="1"/>
  <c r="D566" i="20" s="1"/>
  <c r="E566" i="20" s="1"/>
  <c r="F566" i="20" s="1"/>
  <c r="D567" i="20" s="1"/>
  <c r="E567" i="20" s="1"/>
  <c r="F567" i="20" s="1"/>
  <c r="D568" i="20" s="1"/>
  <c r="E568" i="20" s="1"/>
  <c r="F568" i="20" s="1"/>
  <c r="D569" i="20" s="1"/>
  <c r="E569" i="20" s="1"/>
  <c r="F569" i="20" s="1"/>
  <c r="D570" i="20" s="1"/>
  <c r="E570" i="20" s="1"/>
  <c r="F570" i="20" s="1"/>
  <c r="D571" i="20" s="1"/>
  <c r="E571" i="20" s="1"/>
  <c r="F571" i="20" s="1"/>
  <c r="D572" i="20" s="1"/>
  <c r="E572" i="20" s="1"/>
  <c r="F572" i="20" s="1"/>
  <c r="D573" i="20" s="1"/>
  <c r="E573" i="20" s="1"/>
  <c r="F573" i="20" s="1"/>
  <c r="D574" i="20" s="1"/>
  <c r="E574" i="20" s="1"/>
  <c r="F574" i="20" s="1"/>
  <c r="D575" i="20" s="1"/>
  <c r="E575" i="20" s="1"/>
  <c r="F575" i="20" s="1"/>
  <c r="D576" i="20" s="1"/>
  <c r="E576" i="20" s="1"/>
  <c r="F576" i="20" s="1"/>
  <c r="D577" i="20" s="1"/>
  <c r="E577" i="20" s="1"/>
  <c r="F577" i="20" s="1"/>
  <c r="D578" i="20" s="1"/>
  <c r="E578" i="20" s="1"/>
  <c r="F578" i="20" s="1"/>
  <c r="D579" i="20" s="1"/>
  <c r="E579" i="20" s="1"/>
  <c r="F579" i="20" s="1"/>
  <c r="D580" i="20" s="1"/>
  <c r="E580" i="20" s="1"/>
  <c r="F580" i="20" s="1"/>
  <c r="D581" i="20" s="1"/>
  <c r="E581" i="20" s="1"/>
  <c r="F581" i="20" s="1"/>
  <c r="D582" i="20" s="1"/>
  <c r="E582" i="20" s="1"/>
  <c r="F582" i="20" s="1"/>
  <c r="D583" i="20" s="1"/>
  <c r="E583" i="20" s="1"/>
  <c r="F583" i="20" s="1"/>
  <c r="D584" i="20" s="1"/>
  <c r="E584" i="20" s="1"/>
  <c r="F584" i="20" s="1"/>
  <c r="D585" i="20" s="1"/>
  <c r="E585" i="20" s="1"/>
  <c r="F585" i="20" s="1"/>
  <c r="D586" i="20" s="1"/>
  <c r="E586" i="20" s="1"/>
  <c r="F586" i="20" s="1"/>
  <c r="D587" i="20" s="1"/>
  <c r="E587" i="20" s="1"/>
  <c r="F587" i="20" s="1"/>
  <c r="D588" i="20" s="1"/>
  <c r="E588" i="20" s="1"/>
  <c r="F588" i="20" s="1"/>
  <c r="D589" i="20" s="1"/>
  <c r="E589" i="20" s="1"/>
  <c r="F589" i="20" s="1"/>
  <c r="D590" i="20" s="1"/>
  <c r="E590" i="20" s="1"/>
  <c r="F590" i="20" s="1"/>
  <c r="D591" i="20" s="1"/>
  <c r="E591" i="20" s="1"/>
  <c r="F591" i="20" s="1"/>
  <c r="D592" i="20" s="1"/>
  <c r="E592" i="20" s="1"/>
  <c r="F592" i="20" s="1"/>
  <c r="D593" i="20" s="1"/>
  <c r="E593" i="20" s="1"/>
  <c r="F593" i="20" s="1"/>
  <c r="D594" i="20" s="1"/>
  <c r="E594" i="20" s="1"/>
  <c r="F594" i="20" s="1"/>
  <c r="D595" i="20" s="1"/>
  <c r="E595" i="20" s="1"/>
  <c r="F595" i="20" s="1"/>
  <c r="D596" i="20" s="1"/>
  <c r="E596" i="20" s="1"/>
  <c r="F596" i="20" s="1"/>
  <c r="D597" i="20" s="1"/>
  <c r="E597" i="20" s="1"/>
  <c r="F597" i="20" s="1"/>
  <c r="D598" i="20" s="1"/>
  <c r="E598" i="20" s="1"/>
  <c r="F598" i="20" s="1"/>
  <c r="D599" i="20" s="1"/>
  <c r="E599" i="20" s="1"/>
  <c r="F599" i="20" s="1"/>
  <c r="D600" i="20" s="1"/>
  <c r="E600" i="20" s="1"/>
  <c r="F600" i="20" s="1"/>
  <c r="D601" i="20" s="1"/>
  <c r="E601" i="20" s="1"/>
  <c r="F601" i="20" s="1"/>
  <c r="D602" i="20" s="1"/>
  <c r="E602" i="20" s="1"/>
  <c r="F602" i="20" s="1"/>
  <c r="D603" i="20" s="1"/>
  <c r="E603" i="20" s="1"/>
  <c r="F603" i="20" s="1"/>
  <c r="D604" i="20" s="1"/>
  <c r="E604" i="20" s="1"/>
  <c r="F604" i="20" s="1"/>
  <c r="D605" i="20" s="1"/>
  <c r="E605" i="20" s="1"/>
  <c r="F605" i="20" s="1"/>
  <c r="D606" i="20" s="1"/>
  <c r="E606" i="20" s="1"/>
  <c r="F606" i="20" s="1"/>
  <c r="D607" i="20" s="1"/>
  <c r="D811" i="20"/>
  <c r="I812" i="20" s="1"/>
  <c r="E815" i="20" s="1"/>
  <c r="F815" i="20" s="1"/>
  <c r="D816" i="20" s="1"/>
  <c r="E816" i="20" s="1"/>
  <c r="F816" i="20" s="1"/>
  <c r="D817" i="20" s="1"/>
  <c r="E817" i="20" s="1"/>
  <c r="F817" i="20" s="1"/>
  <c r="D818" i="20" s="1"/>
  <c r="E818" i="20" s="1"/>
  <c r="F818" i="20" s="1"/>
  <c r="D819" i="20" s="1"/>
  <c r="E819" i="20" s="1"/>
  <c r="F819" i="20" s="1"/>
  <c r="D820" i="20" s="1"/>
  <c r="E820" i="20" s="1"/>
  <c r="F820" i="20" s="1"/>
  <c r="D821" i="20" s="1"/>
  <c r="E821" i="20" s="1"/>
  <c r="F821" i="20" s="1"/>
  <c r="D822" i="20" s="1"/>
  <c r="E822" i="20" s="1"/>
  <c r="F822" i="20" s="1"/>
  <c r="D823" i="20" s="1"/>
  <c r="E823" i="20" s="1"/>
  <c r="F823" i="20" s="1"/>
  <c r="D824" i="20" s="1"/>
  <c r="E824" i="20" s="1"/>
  <c r="F824" i="20" s="1"/>
  <c r="D825" i="20" s="1"/>
  <c r="E825" i="20" s="1"/>
  <c r="F825" i="20" s="1"/>
  <c r="D826" i="20" s="1"/>
  <c r="E826" i="20" s="1"/>
  <c r="F826" i="20" s="1"/>
  <c r="D827" i="20" s="1"/>
  <c r="E827" i="20" s="1"/>
  <c r="F827" i="20" s="1"/>
  <c r="D828" i="20" s="1"/>
  <c r="E828" i="20" s="1"/>
  <c r="F828" i="20" s="1"/>
  <c r="D829" i="20" s="1"/>
  <c r="E829" i="20" s="1"/>
  <c r="F829" i="20" s="1"/>
  <c r="D830" i="20" s="1"/>
  <c r="E830" i="20" s="1"/>
  <c r="F830" i="20" s="1"/>
  <c r="D831" i="20" s="1"/>
  <c r="E831" i="20" s="1"/>
  <c r="F831" i="20" s="1"/>
  <c r="D832" i="20" s="1"/>
  <c r="E832" i="20" s="1"/>
  <c r="F832" i="20" s="1"/>
  <c r="D833" i="20" s="1"/>
  <c r="E833" i="20" s="1"/>
  <c r="F833" i="20" s="1"/>
  <c r="D834" i="20" s="1"/>
  <c r="E834" i="20" s="1"/>
  <c r="F834" i="20" s="1"/>
  <c r="D835" i="20" s="1"/>
  <c r="E835" i="20" s="1"/>
  <c r="F835" i="20" s="1"/>
  <c r="D836" i="20" s="1"/>
  <c r="E836" i="20" s="1"/>
  <c r="F836" i="20" s="1"/>
  <c r="D837" i="20" s="1"/>
  <c r="E837" i="20" s="1"/>
  <c r="F837" i="20" s="1"/>
  <c r="D838" i="20" s="1"/>
  <c r="E838" i="20" s="1"/>
  <c r="F838" i="20" s="1"/>
  <c r="D839" i="20" s="1"/>
  <c r="E839" i="20" s="1"/>
  <c r="F839" i="20" s="1"/>
  <c r="D840" i="20" s="1"/>
  <c r="E840" i="20" s="1"/>
  <c r="F840" i="20" s="1"/>
  <c r="D841" i="20" s="1"/>
  <c r="E841" i="20" s="1"/>
  <c r="F841" i="20" s="1"/>
  <c r="D842" i="20" s="1"/>
  <c r="E842" i="20" s="1"/>
  <c r="F842" i="20" s="1"/>
  <c r="D843" i="20" s="1"/>
  <c r="E843" i="20" s="1"/>
  <c r="F843" i="20" s="1"/>
  <c r="D844" i="20" s="1"/>
  <c r="E844" i="20" s="1"/>
  <c r="F844" i="20" s="1"/>
  <c r="D845" i="20" s="1"/>
  <c r="E845" i="20" s="1"/>
  <c r="F845" i="20" s="1"/>
  <c r="D846" i="20" s="1"/>
  <c r="E846" i="20" s="1"/>
  <c r="F846" i="20" s="1"/>
  <c r="D847" i="20" s="1"/>
  <c r="E847" i="20" s="1"/>
  <c r="F847" i="20" s="1"/>
  <c r="D848" i="20" s="1"/>
  <c r="E848" i="20" s="1"/>
  <c r="F848" i="20" s="1"/>
  <c r="D849" i="20" s="1"/>
  <c r="E849" i="20" s="1"/>
  <c r="F849" i="20" s="1"/>
  <c r="D850" i="20" s="1"/>
  <c r="E850" i="20" s="1"/>
  <c r="F850" i="20" s="1"/>
  <c r="D851" i="20" s="1"/>
  <c r="E851" i="20" s="1"/>
  <c r="F851" i="20" s="1"/>
  <c r="D852" i="20" s="1"/>
  <c r="E852" i="20" s="1"/>
  <c r="F852" i="20" s="1"/>
  <c r="D853" i="20" s="1"/>
  <c r="E853" i="20" s="1"/>
  <c r="F853" i="20" s="1"/>
  <c r="D854" i="20" s="1"/>
  <c r="E854" i="20" s="1"/>
  <c r="F854" i="20" s="1"/>
  <c r="D855" i="20" s="1"/>
  <c r="E855" i="20" s="1"/>
  <c r="F855" i="20" s="1"/>
  <c r="D856" i="20" s="1"/>
  <c r="E856" i="20" s="1"/>
  <c r="F856" i="20" s="1"/>
  <c r="D857" i="20" s="1"/>
  <c r="E857" i="20" s="1"/>
  <c r="F857" i="20" s="1"/>
  <c r="D858" i="20" s="1"/>
  <c r="E858" i="20" s="1"/>
  <c r="F858" i="20" s="1"/>
  <c r="D859" i="20" s="1"/>
  <c r="E859" i="20" s="1"/>
  <c r="F859" i="20" s="1"/>
  <c r="D860" i="20" s="1"/>
  <c r="E860" i="20" s="1"/>
  <c r="F860" i="20" s="1"/>
  <c r="D861" i="20" s="1"/>
  <c r="E861" i="20" s="1"/>
  <c r="F861" i="20" s="1"/>
  <c r="D862" i="20" s="1"/>
  <c r="E862" i="20" s="1"/>
  <c r="F862" i="20" s="1"/>
  <c r="D863" i="20" s="1"/>
  <c r="E863" i="20" s="1"/>
  <c r="F863" i="20" s="1"/>
  <c r="D864" i="20" s="1"/>
  <c r="E864" i="20" s="1"/>
  <c r="F864" i="20" s="1"/>
  <c r="D865" i="20" s="1"/>
  <c r="E865" i="20" s="1"/>
  <c r="F865" i="20" s="1"/>
  <c r="D866" i="20" s="1"/>
  <c r="E866" i="20" s="1"/>
  <c r="F866" i="20" s="1"/>
  <c r="D867" i="20" s="1"/>
  <c r="E867" i="20" s="1"/>
  <c r="F867" i="20" s="1"/>
  <c r="D868" i="20" s="1"/>
  <c r="E868" i="20" s="1"/>
  <c r="F868" i="20" s="1"/>
  <c r="D869" i="20" s="1"/>
  <c r="E869" i="20" s="1"/>
  <c r="F869" i="20" s="1"/>
  <c r="D870" i="20" s="1"/>
  <c r="E870" i="20" s="1"/>
  <c r="F870" i="20" s="1"/>
  <c r="D871" i="20" s="1"/>
  <c r="E871" i="20" s="1"/>
  <c r="F871" i="20" s="1"/>
  <c r="D872" i="20" s="1"/>
  <c r="E872" i="20" s="1"/>
  <c r="F872" i="20" s="1"/>
  <c r="D873" i="20" s="1"/>
  <c r="E873" i="20" s="1"/>
  <c r="F873" i="20" s="1"/>
  <c r="D874" i="20" s="1"/>
  <c r="D365" i="20"/>
  <c r="I366" i="20" s="1"/>
  <c r="E369" i="20" s="1"/>
  <c r="F369" i="20" s="1"/>
  <c r="D370" i="20" s="1"/>
  <c r="E370" i="20" s="1"/>
  <c r="F370" i="20" s="1"/>
  <c r="D371" i="20" s="1"/>
  <c r="E371" i="20" s="1"/>
  <c r="F371" i="20" s="1"/>
  <c r="D372" i="20" s="1"/>
  <c r="E372" i="20" s="1"/>
  <c r="F372" i="20" s="1"/>
  <c r="D373" i="20" s="1"/>
  <c r="E373" i="20" s="1"/>
  <c r="F373" i="20" s="1"/>
  <c r="D374" i="20" s="1"/>
  <c r="E374" i="20" s="1"/>
  <c r="F374" i="20" s="1"/>
  <c r="D375" i="20" s="1"/>
  <c r="E375" i="20" s="1"/>
  <c r="F375" i="20" s="1"/>
  <c r="D376" i="20" s="1"/>
  <c r="E376" i="20" s="1"/>
  <c r="F376" i="20" s="1"/>
  <c r="D377" i="20" s="1"/>
  <c r="E377" i="20" s="1"/>
  <c r="F377" i="20" s="1"/>
  <c r="D378" i="20" s="1"/>
  <c r="E378" i="20" s="1"/>
  <c r="F378" i="20" s="1"/>
  <c r="D379" i="20" s="1"/>
  <c r="E379" i="20" s="1"/>
  <c r="F379" i="20" s="1"/>
  <c r="D380" i="20" s="1"/>
  <c r="E380" i="20" s="1"/>
  <c r="F380" i="20" s="1"/>
  <c r="D381" i="20" s="1"/>
  <c r="E381" i="20" s="1"/>
  <c r="F381" i="20" s="1"/>
  <c r="D382" i="20" s="1"/>
  <c r="E382" i="20" s="1"/>
  <c r="F382" i="20" s="1"/>
  <c r="D383" i="20" s="1"/>
  <c r="E383" i="20" s="1"/>
  <c r="F383" i="20" s="1"/>
  <c r="D384" i="20" s="1"/>
  <c r="E384" i="20" s="1"/>
  <c r="F384" i="20" s="1"/>
  <c r="D385" i="20" s="1"/>
  <c r="E385" i="20" s="1"/>
  <c r="F385" i="20" s="1"/>
  <c r="D386" i="20" s="1"/>
  <c r="E386" i="20" s="1"/>
  <c r="F386" i="20" s="1"/>
  <c r="D387" i="20" s="1"/>
  <c r="E387" i="20" s="1"/>
  <c r="F387" i="20" s="1"/>
  <c r="D388" i="20" s="1"/>
  <c r="E388" i="20" s="1"/>
  <c r="F388" i="20" s="1"/>
  <c r="D389" i="20" s="1"/>
  <c r="E389" i="20" s="1"/>
  <c r="F389" i="20" s="1"/>
  <c r="D390" i="20" s="1"/>
  <c r="E390" i="20" s="1"/>
  <c r="F390" i="20" s="1"/>
  <c r="D391" i="20" s="1"/>
  <c r="E391" i="20" s="1"/>
  <c r="F391" i="20" s="1"/>
  <c r="D392" i="20" s="1"/>
  <c r="E392" i="20" s="1"/>
  <c r="F392" i="20" s="1"/>
  <c r="D393" i="20" s="1"/>
  <c r="E393" i="20" s="1"/>
  <c r="F393" i="20" s="1"/>
  <c r="D394" i="20" s="1"/>
  <c r="E394" i="20" s="1"/>
  <c r="F394" i="20" s="1"/>
  <c r="D395" i="20" s="1"/>
  <c r="E395" i="20" s="1"/>
  <c r="F395" i="20" s="1"/>
  <c r="D396" i="20" s="1"/>
  <c r="E396" i="20" s="1"/>
  <c r="F396" i="20" s="1"/>
  <c r="D397" i="20" s="1"/>
  <c r="E397" i="20" s="1"/>
  <c r="F397" i="20" s="1"/>
  <c r="D398" i="20" s="1"/>
  <c r="E398" i="20" s="1"/>
  <c r="F398" i="20" s="1"/>
  <c r="D399" i="20" s="1"/>
  <c r="E399" i="20" s="1"/>
  <c r="F399" i="20" s="1"/>
  <c r="D400" i="20" s="1"/>
  <c r="E400" i="20" s="1"/>
  <c r="F400" i="20" s="1"/>
  <c r="D401" i="20" s="1"/>
  <c r="E401" i="20" s="1"/>
  <c r="F401" i="20" s="1"/>
  <c r="D402" i="20" s="1"/>
  <c r="E402" i="20" s="1"/>
  <c r="F402" i="20" s="1"/>
  <c r="D403" i="20" s="1"/>
  <c r="E403" i="20" s="1"/>
  <c r="F403" i="20" s="1"/>
  <c r="D404" i="20" s="1"/>
  <c r="E404" i="20" s="1"/>
  <c r="F404" i="20" s="1"/>
  <c r="D405" i="20" s="1"/>
  <c r="E405" i="20" s="1"/>
  <c r="F405" i="20" s="1"/>
  <c r="D406" i="20" s="1"/>
  <c r="E406" i="20" s="1"/>
  <c r="F406" i="20" s="1"/>
  <c r="D407" i="20" s="1"/>
  <c r="E407" i="20" s="1"/>
  <c r="F407" i="20" s="1"/>
  <c r="D408" i="20" s="1"/>
  <c r="E408" i="20" s="1"/>
  <c r="F408" i="20" s="1"/>
  <c r="D409" i="20" s="1"/>
  <c r="E409" i="20" s="1"/>
  <c r="F409" i="20" s="1"/>
  <c r="D410" i="20" s="1"/>
  <c r="E410" i="20" s="1"/>
  <c r="F410" i="20" s="1"/>
  <c r="D411" i="20" s="1"/>
  <c r="E411" i="20" s="1"/>
  <c r="F411" i="20" s="1"/>
  <c r="D412" i="20" s="1"/>
  <c r="E412" i="20" s="1"/>
  <c r="F412" i="20" s="1"/>
  <c r="D413" i="20" s="1"/>
  <c r="E413" i="20" s="1"/>
  <c r="F413" i="20" s="1"/>
  <c r="D414" i="20" s="1"/>
  <c r="E414" i="20" s="1"/>
  <c r="F414" i="20" s="1"/>
  <c r="D415" i="20" s="1"/>
  <c r="E415" i="20" s="1"/>
  <c r="F415" i="20" s="1"/>
  <c r="D416" i="20" s="1"/>
  <c r="E416" i="20" s="1"/>
  <c r="F416" i="20" s="1"/>
  <c r="D417" i="20" s="1"/>
  <c r="E417" i="20" s="1"/>
  <c r="F417" i="20" s="1"/>
  <c r="D418" i="20" s="1"/>
  <c r="E418" i="20" s="1"/>
  <c r="F418" i="20" s="1"/>
  <c r="D419" i="20" s="1"/>
  <c r="E419" i="20" s="1"/>
  <c r="F419" i="20" s="1"/>
  <c r="D420" i="20" s="1"/>
  <c r="E420" i="20" s="1"/>
  <c r="F420" i="20" s="1"/>
  <c r="D421" i="20" s="1"/>
  <c r="E421" i="20" s="1"/>
  <c r="F421" i="20" s="1"/>
  <c r="D422" i="20" s="1"/>
  <c r="E422" i="20" s="1"/>
  <c r="F422" i="20" s="1"/>
  <c r="D423" i="20" s="1"/>
  <c r="E423" i="20" s="1"/>
  <c r="F423" i="20" s="1"/>
  <c r="D424" i="20" s="1"/>
  <c r="E424" i="20" s="1"/>
  <c r="F424" i="20" s="1"/>
  <c r="D425" i="20" s="1"/>
  <c r="E425" i="20" s="1"/>
  <c r="F425" i="20" s="1"/>
  <c r="D426" i="20" s="1"/>
  <c r="E426" i="20" s="1"/>
  <c r="F426" i="20" s="1"/>
  <c r="D427" i="20" s="1"/>
  <c r="E427" i="20" s="1"/>
  <c r="F427" i="20" s="1"/>
  <c r="D428" i="20" s="1"/>
  <c r="D276" i="20"/>
  <c r="I277" i="20" s="1"/>
  <c r="E280" i="20" s="1"/>
  <c r="F280" i="20" s="1"/>
  <c r="D281" i="20" s="1"/>
  <c r="E281" i="20" s="1"/>
  <c r="F281" i="20" s="1"/>
  <c r="D282" i="20" s="1"/>
  <c r="E282" i="20" s="1"/>
  <c r="F282" i="20" s="1"/>
  <c r="D283" i="20" s="1"/>
  <c r="E283" i="20" s="1"/>
  <c r="F283" i="20" s="1"/>
  <c r="D284" i="20" s="1"/>
  <c r="E284" i="20" s="1"/>
  <c r="F284" i="20" s="1"/>
  <c r="D285" i="20" s="1"/>
  <c r="E285" i="20" s="1"/>
  <c r="F285" i="20" s="1"/>
  <c r="D286" i="20" s="1"/>
  <c r="E286" i="20" s="1"/>
  <c r="F286" i="20" s="1"/>
  <c r="D287" i="20" s="1"/>
  <c r="E287" i="20" s="1"/>
  <c r="F287" i="20" s="1"/>
  <c r="D288" i="20" s="1"/>
  <c r="E288" i="20" s="1"/>
  <c r="F288" i="20" s="1"/>
  <c r="D289" i="20" s="1"/>
  <c r="E289" i="20" s="1"/>
  <c r="F289" i="20" s="1"/>
  <c r="D290" i="20" s="1"/>
  <c r="E290" i="20" s="1"/>
  <c r="F290" i="20" s="1"/>
  <c r="D291" i="20" s="1"/>
  <c r="E291" i="20" s="1"/>
  <c r="F291" i="20" s="1"/>
  <c r="D292" i="20" s="1"/>
  <c r="E292" i="20" s="1"/>
  <c r="F292" i="20" s="1"/>
  <c r="D293" i="20" s="1"/>
  <c r="E293" i="20" s="1"/>
  <c r="F293" i="20" s="1"/>
  <c r="D294" i="20" s="1"/>
  <c r="E294" i="20" s="1"/>
  <c r="F294" i="20" s="1"/>
  <c r="D295" i="20" s="1"/>
  <c r="E295" i="20" s="1"/>
  <c r="F295" i="20" s="1"/>
  <c r="D296" i="20" s="1"/>
  <c r="E296" i="20" s="1"/>
  <c r="F296" i="20" s="1"/>
  <c r="D297" i="20" s="1"/>
  <c r="E297" i="20" s="1"/>
  <c r="F297" i="20" s="1"/>
  <c r="D298" i="20" s="1"/>
  <c r="E298" i="20" s="1"/>
  <c r="F298" i="20" s="1"/>
  <c r="D299" i="20" s="1"/>
  <c r="E299" i="20" s="1"/>
  <c r="F299" i="20" s="1"/>
  <c r="D300" i="20" s="1"/>
  <c r="E300" i="20" s="1"/>
  <c r="F300" i="20" s="1"/>
  <c r="D301" i="20" s="1"/>
  <c r="E301" i="20" s="1"/>
  <c r="F301" i="20" s="1"/>
  <c r="D302" i="20" s="1"/>
  <c r="E302" i="20" s="1"/>
  <c r="F302" i="20" s="1"/>
  <c r="D303" i="20" s="1"/>
  <c r="E303" i="20" s="1"/>
  <c r="F303" i="20" s="1"/>
  <c r="D304" i="20" s="1"/>
  <c r="E304" i="20" s="1"/>
  <c r="F304" i="20" s="1"/>
  <c r="D305" i="20" s="1"/>
  <c r="E305" i="20" s="1"/>
  <c r="F305" i="20" s="1"/>
  <c r="D306" i="20" s="1"/>
  <c r="E306" i="20" s="1"/>
  <c r="F306" i="20" s="1"/>
  <c r="D307" i="20" s="1"/>
  <c r="E307" i="20" s="1"/>
  <c r="F307" i="20" s="1"/>
  <c r="D308" i="20" s="1"/>
  <c r="E308" i="20" s="1"/>
  <c r="F308" i="20" s="1"/>
  <c r="D309" i="20" s="1"/>
  <c r="E309" i="20" s="1"/>
  <c r="F309" i="20" s="1"/>
  <c r="D310" i="20" s="1"/>
  <c r="E310" i="20" s="1"/>
  <c r="F310" i="20" s="1"/>
  <c r="D311" i="20" s="1"/>
  <c r="E311" i="20" s="1"/>
  <c r="F311" i="20" s="1"/>
  <c r="D312" i="20" s="1"/>
  <c r="E312" i="20" s="1"/>
  <c r="F312" i="20" s="1"/>
  <c r="D313" i="20" s="1"/>
  <c r="E313" i="20" s="1"/>
  <c r="F313" i="20" s="1"/>
  <c r="D314" i="20" s="1"/>
  <c r="E314" i="20" s="1"/>
  <c r="F314" i="20" s="1"/>
  <c r="D315" i="20" s="1"/>
  <c r="E315" i="20" s="1"/>
  <c r="F315" i="20" s="1"/>
  <c r="D316" i="20" s="1"/>
  <c r="E316" i="20" s="1"/>
  <c r="F316" i="20" s="1"/>
  <c r="D317" i="20" s="1"/>
  <c r="E317" i="20" s="1"/>
  <c r="F317" i="20" s="1"/>
  <c r="D318" i="20" s="1"/>
  <c r="E318" i="20" s="1"/>
  <c r="F318" i="20" s="1"/>
  <c r="D319" i="20" s="1"/>
  <c r="E319" i="20" s="1"/>
  <c r="F319" i="20" s="1"/>
  <c r="D320" i="20" s="1"/>
  <c r="E320" i="20" s="1"/>
  <c r="F320" i="20" s="1"/>
  <c r="D321" i="20" s="1"/>
  <c r="E321" i="20" s="1"/>
  <c r="F321" i="20" s="1"/>
  <c r="D322" i="20" s="1"/>
  <c r="E322" i="20" s="1"/>
  <c r="F322" i="20" s="1"/>
  <c r="D323" i="20" s="1"/>
  <c r="E323" i="20" s="1"/>
  <c r="F323" i="20" s="1"/>
  <c r="D324" i="20" s="1"/>
  <c r="E324" i="20" s="1"/>
  <c r="F324" i="20" s="1"/>
  <c r="D325" i="20" s="1"/>
  <c r="E325" i="20" s="1"/>
  <c r="F325" i="20" s="1"/>
  <c r="D326" i="20" s="1"/>
  <c r="E326" i="20" s="1"/>
  <c r="F326" i="20" s="1"/>
  <c r="D327" i="20" s="1"/>
  <c r="E327" i="20" s="1"/>
  <c r="F327" i="20" s="1"/>
  <c r="D328" i="20" s="1"/>
  <c r="E328" i="20" s="1"/>
  <c r="F328" i="20" s="1"/>
  <c r="D329" i="20" s="1"/>
  <c r="E329" i="20" s="1"/>
  <c r="F329" i="20" s="1"/>
  <c r="D330" i="20" s="1"/>
  <c r="E330" i="20" s="1"/>
  <c r="F330" i="20" s="1"/>
  <c r="D331" i="20" s="1"/>
  <c r="E331" i="20" s="1"/>
  <c r="F331" i="20" s="1"/>
  <c r="D332" i="20" s="1"/>
  <c r="E332" i="20" s="1"/>
  <c r="F332" i="20" s="1"/>
  <c r="D333" i="20" s="1"/>
  <c r="E333" i="20" s="1"/>
  <c r="F333" i="20" s="1"/>
  <c r="D334" i="20" s="1"/>
  <c r="E334" i="20" s="1"/>
  <c r="F334" i="20" s="1"/>
  <c r="D335" i="20" s="1"/>
  <c r="E335" i="20" s="1"/>
  <c r="F335" i="20" s="1"/>
  <c r="D336" i="20" s="1"/>
  <c r="E336" i="20" s="1"/>
  <c r="F336" i="20" s="1"/>
  <c r="D337" i="20" s="1"/>
  <c r="E337" i="20" s="1"/>
  <c r="F337" i="20" s="1"/>
  <c r="D338" i="20" s="1"/>
  <c r="E338" i="20" s="1"/>
  <c r="F338" i="20" s="1"/>
  <c r="D339" i="20" s="1"/>
  <c r="D633" i="20"/>
  <c r="I634" i="20" s="1"/>
  <c r="E637" i="20" s="1"/>
  <c r="F637" i="20" s="1"/>
  <c r="D638" i="20" s="1"/>
  <c r="E638" i="20" s="1"/>
  <c r="F638" i="20" s="1"/>
  <c r="D639" i="20" s="1"/>
  <c r="E639" i="20" s="1"/>
  <c r="F639" i="20" s="1"/>
  <c r="D640" i="20" s="1"/>
  <c r="E640" i="20" s="1"/>
  <c r="F640" i="20" s="1"/>
  <c r="D641" i="20" s="1"/>
  <c r="E641" i="20" s="1"/>
  <c r="F641" i="20" s="1"/>
  <c r="D642" i="20" s="1"/>
  <c r="E642" i="20" s="1"/>
  <c r="F642" i="20" s="1"/>
  <c r="D643" i="20" s="1"/>
  <c r="E643" i="20" s="1"/>
  <c r="F643" i="20" s="1"/>
  <c r="D644" i="20" s="1"/>
  <c r="E644" i="20" s="1"/>
  <c r="F644" i="20" s="1"/>
  <c r="D645" i="20" s="1"/>
  <c r="E645" i="20" s="1"/>
  <c r="F645" i="20" s="1"/>
  <c r="D646" i="20" s="1"/>
  <c r="E646" i="20" s="1"/>
  <c r="F646" i="20" s="1"/>
  <c r="D647" i="20" s="1"/>
  <c r="E647" i="20" s="1"/>
  <c r="F647" i="20" s="1"/>
  <c r="D648" i="20" s="1"/>
  <c r="E648" i="20" s="1"/>
  <c r="F648" i="20" s="1"/>
  <c r="D649" i="20" s="1"/>
  <c r="E649" i="20" s="1"/>
  <c r="F649" i="20" s="1"/>
  <c r="D650" i="20" s="1"/>
  <c r="E650" i="20" s="1"/>
  <c r="F650" i="20" s="1"/>
  <c r="D651" i="20" s="1"/>
  <c r="E651" i="20" s="1"/>
  <c r="F651" i="20" s="1"/>
  <c r="D652" i="20" s="1"/>
  <c r="E652" i="20" s="1"/>
  <c r="F652" i="20" s="1"/>
  <c r="D653" i="20" s="1"/>
  <c r="E653" i="20" s="1"/>
  <c r="F653" i="20" s="1"/>
  <c r="D654" i="20" s="1"/>
  <c r="E654" i="20" s="1"/>
  <c r="F654" i="20" s="1"/>
  <c r="D655" i="20" s="1"/>
  <c r="E655" i="20" s="1"/>
  <c r="F655" i="20" s="1"/>
  <c r="D656" i="20" s="1"/>
  <c r="E656" i="20" s="1"/>
  <c r="F656" i="20" s="1"/>
  <c r="D657" i="20" s="1"/>
  <c r="E657" i="20" s="1"/>
  <c r="F657" i="20" s="1"/>
  <c r="D658" i="20" s="1"/>
  <c r="E658" i="20" s="1"/>
  <c r="F658" i="20" s="1"/>
  <c r="D659" i="20" s="1"/>
  <c r="E659" i="20" s="1"/>
  <c r="F659" i="20" s="1"/>
  <c r="D660" i="20" s="1"/>
  <c r="E660" i="20" s="1"/>
  <c r="F660" i="20" s="1"/>
  <c r="D661" i="20" s="1"/>
  <c r="E661" i="20" s="1"/>
  <c r="F661" i="20" s="1"/>
  <c r="D662" i="20" s="1"/>
  <c r="E662" i="20" s="1"/>
  <c r="F662" i="20" s="1"/>
  <c r="D663" i="20" s="1"/>
  <c r="E663" i="20" s="1"/>
  <c r="F663" i="20" s="1"/>
  <c r="D664" i="20" s="1"/>
  <c r="E664" i="20" s="1"/>
  <c r="F664" i="20" s="1"/>
  <c r="D665" i="20" s="1"/>
  <c r="E665" i="20" s="1"/>
  <c r="F665" i="20" s="1"/>
  <c r="D666" i="20" s="1"/>
  <c r="E666" i="20" s="1"/>
  <c r="F666" i="20" s="1"/>
  <c r="D667" i="20" s="1"/>
  <c r="E667" i="20" s="1"/>
  <c r="F667" i="20" s="1"/>
  <c r="D668" i="20" s="1"/>
  <c r="E668" i="20" s="1"/>
  <c r="F668" i="20" s="1"/>
  <c r="D669" i="20" s="1"/>
  <c r="E669" i="20" s="1"/>
  <c r="F669" i="20" s="1"/>
  <c r="D670" i="20" s="1"/>
  <c r="E670" i="20" s="1"/>
  <c r="F670" i="20" s="1"/>
  <c r="D671" i="20" s="1"/>
  <c r="E671" i="20" s="1"/>
  <c r="F671" i="20" s="1"/>
  <c r="D672" i="20" s="1"/>
  <c r="E672" i="20" s="1"/>
  <c r="F672" i="20" s="1"/>
  <c r="D673" i="20" s="1"/>
  <c r="E673" i="20" s="1"/>
  <c r="F673" i="20" s="1"/>
  <c r="D674" i="20" s="1"/>
  <c r="E674" i="20" s="1"/>
  <c r="F674" i="20" s="1"/>
  <c r="D675" i="20" s="1"/>
  <c r="E675" i="20" s="1"/>
  <c r="F675" i="20" s="1"/>
  <c r="D676" i="20" s="1"/>
  <c r="E676" i="20" s="1"/>
  <c r="F676" i="20" s="1"/>
  <c r="D677" i="20" s="1"/>
  <c r="E677" i="20" s="1"/>
  <c r="F677" i="20" s="1"/>
  <c r="D678" i="20" s="1"/>
  <c r="E678" i="20" s="1"/>
  <c r="F678" i="20" s="1"/>
  <c r="D679" i="20" s="1"/>
  <c r="E679" i="20" s="1"/>
  <c r="F679" i="20" s="1"/>
  <c r="D680" i="20" s="1"/>
  <c r="E680" i="20" s="1"/>
  <c r="F680" i="20" s="1"/>
  <c r="D681" i="20" s="1"/>
  <c r="E681" i="20" s="1"/>
  <c r="F681" i="20" s="1"/>
  <c r="D682" i="20" s="1"/>
  <c r="E682" i="20" s="1"/>
  <c r="F682" i="20" s="1"/>
  <c r="D683" i="20" s="1"/>
  <c r="E683" i="20" s="1"/>
  <c r="F683" i="20" s="1"/>
  <c r="D684" i="20" s="1"/>
  <c r="E684" i="20" s="1"/>
  <c r="F684" i="20" s="1"/>
  <c r="D685" i="20" s="1"/>
  <c r="E685" i="20" s="1"/>
  <c r="F685" i="20" s="1"/>
  <c r="D686" i="20" s="1"/>
  <c r="E686" i="20" s="1"/>
  <c r="F686" i="20" s="1"/>
  <c r="D687" i="20" s="1"/>
  <c r="E687" i="20" s="1"/>
  <c r="F687" i="20" s="1"/>
  <c r="D688" i="20" s="1"/>
  <c r="E688" i="20" s="1"/>
  <c r="F688" i="20" s="1"/>
  <c r="D689" i="20" s="1"/>
  <c r="E689" i="20" s="1"/>
  <c r="F689" i="20" s="1"/>
  <c r="D690" i="20" s="1"/>
  <c r="E690" i="20" s="1"/>
  <c r="F690" i="20" s="1"/>
  <c r="D691" i="20" s="1"/>
  <c r="E691" i="20" s="1"/>
  <c r="F691" i="20" s="1"/>
  <c r="D692" i="20" s="1"/>
  <c r="E692" i="20" s="1"/>
  <c r="F692" i="20" s="1"/>
  <c r="D693" i="20" s="1"/>
  <c r="E693" i="20" s="1"/>
  <c r="F693" i="20" s="1"/>
  <c r="D694" i="20" s="1"/>
  <c r="E694" i="20" s="1"/>
  <c r="F694" i="20" s="1"/>
  <c r="D695" i="20" s="1"/>
  <c r="E695" i="20" s="1"/>
  <c r="F695" i="20" s="1"/>
  <c r="D696" i="20" s="1"/>
  <c r="D455" i="20"/>
  <c r="I456" i="20" s="1"/>
  <c r="E459" i="20" s="1"/>
  <c r="F459" i="20" s="1"/>
  <c r="D460" i="20" s="1"/>
  <c r="E460" i="20" s="1"/>
  <c r="F460" i="20" s="1"/>
  <c r="D461" i="20" s="1"/>
  <c r="E461" i="20" s="1"/>
  <c r="F461" i="20" s="1"/>
  <c r="D462" i="20" s="1"/>
  <c r="E462" i="20" s="1"/>
  <c r="F462" i="20" s="1"/>
  <c r="D463" i="20" s="1"/>
  <c r="E463" i="20" s="1"/>
  <c r="F463" i="20" s="1"/>
  <c r="D464" i="20" s="1"/>
  <c r="E464" i="20" s="1"/>
  <c r="F464" i="20" s="1"/>
  <c r="D465" i="20" s="1"/>
  <c r="E465" i="20" s="1"/>
  <c r="F465" i="20" s="1"/>
  <c r="D466" i="20" s="1"/>
  <c r="E466" i="20" s="1"/>
  <c r="F466" i="20" s="1"/>
  <c r="D467" i="20" s="1"/>
  <c r="E467" i="20" s="1"/>
  <c r="F467" i="20" s="1"/>
  <c r="D468" i="20" s="1"/>
  <c r="E468" i="20" s="1"/>
  <c r="F468" i="20" s="1"/>
  <c r="D469" i="20" s="1"/>
  <c r="E469" i="20" s="1"/>
  <c r="F469" i="20" s="1"/>
  <c r="D470" i="20" s="1"/>
  <c r="E470" i="20" s="1"/>
  <c r="F470" i="20" s="1"/>
  <c r="D471" i="20" s="1"/>
  <c r="E471" i="20" s="1"/>
  <c r="F471" i="20" s="1"/>
  <c r="D472" i="20" s="1"/>
  <c r="E472" i="20" s="1"/>
  <c r="F472" i="20" s="1"/>
  <c r="D473" i="20" s="1"/>
  <c r="E473" i="20" s="1"/>
  <c r="F473" i="20" s="1"/>
  <c r="D474" i="20" s="1"/>
  <c r="E474" i="20" s="1"/>
  <c r="F474" i="20" s="1"/>
  <c r="D475" i="20" s="1"/>
  <c r="E475" i="20" s="1"/>
  <c r="F475" i="20" s="1"/>
  <c r="D476" i="20" s="1"/>
  <c r="E476" i="20" s="1"/>
  <c r="F476" i="20" s="1"/>
  <c r="D477" i="20" s="1"/>
  <c r="E477" i="20" s="1"/>
  <c r="F477" i="20" s="1"/>
  <c r="D478" i="20" s="1"/>
  <c r="E478" i="20" s="1"/>
  <c r="F478" i="20" s="1"/>
  <c r="D479" i="20" s="1"/>
  <c r="E479" i="20" s="1"/>
  <c r="F479" i="20" s="1"/>
  <c r="D480" i="20" s="1"/>
  <c r="E480" i="20" s="1"/>
  <c r="F480" i="20" s="1"/>
  <c r="D481" i="20" s="1"/>
  <c r="E481" i="20" s="1"/>
  <c r="F481" i="20" s="1"/>
  <c r="D482" i="20" s="1"/>
  <c r="E482" i="20" s="1"/>
  <c r="F482" i="20" s="1"/>
  <c r="D483" i="20" s="1"/>
  <c r="E483" i="20" s="1"/>
  <c r="F483" i="20" s="1"/>
  <c r="D484" i="20" s="1"/>
  <c r="E484" i="20" s="1"/>
  <c r="F484" i="20" s="1"/>
  <c r="D485" i="20" s="1"/>
  <c r="E485" i="20" s="1"/>
  <c r="F485" i="20" s="1"/>
  <c r="D486" i="20" s="1"/>
  <c r="E486" i="20" s="1"/>
  <c r="F486" i="20" s="1"/>
  <c r="D487" i="20" s="1"/>
  <c r="E487" i="20" s="1"/>
  <c r="F487" i="20" s="1"/>
  <c r="D488" i="20" s="1"/>
  <c r="E488" i="20" s="1"/>
  <c r="F488" i="20" s="1"/>
  <c r="D489" i="20" s="1"/>
  <c r="E489" i="20" s="1"/>
  <c r="F489" i="20" s="1"/>
  <c r="D490" i="20" s="1"/>
  <c r="E490" i="20" s="1"/>
  <c r="F490" i="20" s="1"/>
  <c r="D491" i="20" s="1"/>
  <c r="E491" i="20" s="1"/>
  <c r="F491" i="20" s="1"/>
  <c r="D492" i="20" s="1"/>
  <c r="E492" i="20" s="1"/>
  <c r="F492" i="20" s="1"/>
  <c r="D493" i="20" s="1"/>
  <c r="E493" i="20" s="1"/>
  <c r="F493" i="20" s="1"/>
  <c r="D494" i="20" s="1"/>
  <c r="E494" i="20" s="1"/>
  <c r="F494" i="20" s="1"/>
  <c r="D495" i="20" s="1"/>
  <c r="E495" i="20" s="1"/>
  <c r="F495" i="20" s="1"/>
  <c r="D496" i="20" s="1"/>
  <c r="E496" i="20" s="1"/>
  <c r="F496" i="20" s="1"/>
  <c r="D497" i="20" s="1"/>
  <c r="E497" i="20" s="1"/>
  <c r="F497" i="20" s="1"/>
  <c r="D498" i="20" s="1"/>
  <c r="E498" i="20" s="1"/>
  <c r="F498" i="20" s="1"/>
  <c r="D499" i="20" s="1"/>
  <c r="E499" i="20" s="1"/>
  <c r="F499" i="20" s="1"/>
  <c r="D500" i="20" s="1"/>
  <c r="E500" i="20" s="1"/>
  <c r="F500" i="20" s="1"/>
  <c r="D501" i="20" s="1"/>
  <c r="E501" i="20" s="1"/>
  <c r="F501" i="20" s="1"/>
  <c r="D502" i="20" s="1"/>
  <c r="E502" i="20" s="1"/>
  <c r="F502" i="20" s="1"/>
  <c r="D503" i="20" s="1"/>
  <c r="E503" i="20" s="1"/>
  <c r="F503" i="20" s="1"/>
  <c r="D504" i="20" s="1"/>
  <c r="E504" i="20" s="1"/>
  <c r="F504" i="20" s="1"/>
  <c r="D505" i="20" s="1"/>
  <c r="E505" i="20" s="1"/>
  <c r="F505" i="20" s="1"/>
  <c r="D506" i="20" s="1"/>
  <c r="E506" i="20" s="1"/>
  <c r="F506" i="20" s="1"/>
  <c r="D507" i="20" s="1"/>
  <c r="E507" i="20" s="1"/>
  <c r="F507" i="20" s="1"/>
  <c r="D508" i="20" s="1"/>
  <c r="E508" i="20" s="1"/>
  <c r="F508" i="20" s="1"/>
  <c r="D509" i="20" s="1"/>
  <c r="E509" i="20" s="1"/>
  <c r="F509" i="20" s="1"/>
  <c r="D510" i="20" s="1"/>
  <c r="E510" i="20" s="1"/>
  <c r="F510" i="20" s="1"/>
  <c r="D511" i="20" s="1"/>
  <c r="E511" i="20" s="1"/>
  <c r="F511" i="20" s="1"/>
  <c r="D512" i="20" s="1"/>
  <c r="E512" i="20" s="1"/>
  <c r="F512" i="20" s="1"/>
  <c r="D513" i="20" s="1"/>
  <c r="E513" i="20" s="1"/>
  <c r="F513" i="20" s="1"/>
  <c r="D514" i="20" s="1"/>
  <c r="E514" i="20" s="1"/>
  <c r="F514" i="20" s="1"/>
  <c r="D515" i="20" s="1"/>
  <c r="E515" i="20" s="1"/>
  <c r="F515" i="20" s="1"/>
  <c r="D516" i="20" s="1"/>
  <c r="E516" i="20" s="1"/>
  <c r="F516" i="20" s="1"/>
  <c r="D517" i="20" s="1"/>
  <c r="E517" i="20" s="1"/>
  <c r="F517" i="20" s="1"/>
  <c r="D518" i="20" s="1"/>
  <c r="D902" i="20"/>
  <c r="I903" i="20" s="1"/>
  <c r="E906" i="20" s="1"/>
  <c r="F906" i="20" s="1"/>
  <c r="D907" i="20" s="1"/>
  <c r="E907" i="20" s="1"/>
  <c r="F907" i="20" s="1"/>
  <c r="D908" i="20" s="1"/>
  <c r="E908" i="20" s="1"/>
  <c r="F908" i="20" s="1"/>
  <c r="D909" i="20" s="1"/>
  <c r="E909" i="20" s="1"/>
  <c r="F909" i="20" s="1"/>
  <c r="D910" i="20" s="1"/>
  <c r="E910" i="20" s="1"/>
  <c r="F910" i="20" s="1"/>
  <c r="D911" i="20" s="1"/>
  <c r="E911" i="20" s="1"/>
  <c r="F911" i="20" s="1"/>
  <c r="D912" i="20" s="1"/>
  <c r="E912" i="20" s="1"/>
  <c r="F912" i="20" s="1"/>
  <c r="D913" i="20" s="1"/>
  <c r="E913" i="20" s="1"/>
  <c r="F913" i="20" s="1"/>
  <c r="D914" i="20" s="1"/>
  <c r="E914" i="20" s="1"/>
  <c r="F914" i="20" s="1"/>
  <c r="D915" i="20" s="1"/>
  <c r="E915" i="20" s="1"/>
  <c r="F915" i="20" s="1"/>
  <c r="D916" i="20" s="1"/>
  <c r="E916" i="20" s="1"/>
  <c r="F916" i="20" s="1"/>
  <c r="D917" i="20" s="1"/>
  <c r="E917" i="20" s="1"/>
  <c r="F917" i="20" s="1"/>
  <c r="D918" i="20" s="1"/>
  <c r="E918" i="20" s="1"/>
  <c r="F918" i="20" s="1"/>
  <c r="D919" i="20" s="1"/>
  <c r="E919" i="20" s="1"/>
  <c r="F919" i="20" s="1"/>
  <c r="D920" i="20" s="1"/>
  <c r="E920" i="20" s="1"/>
  <c r="F920" i="20" s="1"/>
  <c r="D921" i="20" s="1"/>
  <c r="E921" i="20" s="1"/>
  <c r="F921" i="20" s="1"/>
  <c r="D922" i="20" s="1"/>
  <c r="E922" i="20" s="1"/>
  <c r="F922" i="20" s="1"/>
  <c r="D923" i="20" s="1"/>
  <c r="E923" i="20" s="1"/>
  <c r="F923" i="20" s="1"/>
  <c r="D924" i="20" s="1"/>
  <c r="E924" i="20" s="1"/>
  <c r="F924" i="20" s="1"/>
  <c r="D925" i="20" s="1"/>
  <c r="E925" i="20" s="1"/>
  <c r="F925" i="20" s="1"/>
  <c r="D926" i="20" s="1"/>
  <c r="E926" i="20" s="1"/>
  <c r="F926" i="20" s="1"/>
  <c r="D927" i="20" s="1"/>
  <c r="E927" i="20" s="1"/>
  <c r="F927" i="20" s="1"/>
  <c r="D928" i="20" s="1"/>
  <c r="E928" i="20" s="1"/>
  <c r="F928" i="20" s="1"/>
  <c r="D929" i="20" s="1"/>
  <c r="E929" i="20" s="1"/>
  <c r="F929" i="20" s="1"/>
  <c r="D930" i="20" s="1"/>
  <c r="E930" i="20" s="1"/>
  <c r="F930" i="20" s="1"/>
  <c r="D931" i="20" s="1"/>
  <c r="E931" i="20" s="1"/>
  <c r="F931" i="20" s="1"/>
  <c r="D932" i="20" s="1"/>
  <c r="E932" i="20" s="1"/>
  <c r="F932" i="20" s="1"/>
  <c r="D933" i="20" s="1"/>
  <c r="E933" i="20" s="1"/>
  <c r="F933" i="20" s="1"/>
  <c r="D934" i="20" s="1"/>
  <c r="E934" i="20" s="1"/>
  <c r="F934" i="20" s="1"/>
  <c r="D935" i="20" s="1"/>
  <c r="E935" i="20" s="1"/>
  <c r="F935" i="20" s="1"/>
  <c r="D936" i="20" s="1"/>
  <c r="E936" i="20" s="1"/>
  <c r="F936" i="20" s="1"/>
  <c r="D937" i="20" s="1"/>
  <c r="E937" i="20" s="1"/>
  <c r="F937" i="20" s="1"/>
  <c r="D938" i="20" s="1"/>
  <c r="E938" i="20" s="1"/>
  <c r="F938" i="20" s="1"/>
  <c r="D939" i="20" s="1"/>
  <c r="E939" i="20" s="1"/>
  <c r="F939" i="20" s="1"/>
  <c r="D940" i="20" s="1"/>
  <c r="E940" i="20" s="1"/>
  <c r="F940" i="20" s="1"/>
  <c r="D941" i="20" s="1"/>
  <c r="E941" i="20" s="1"/>
  <c r="F941" i="20" s="1"/>
  <c r="D942" i="20" s="1"/>
  <c r="E942" i="20" s="1"/>
  <c r="F942" i="20" s="1"/>
  <c r="D943" i="20" s="1"/>
  <c r="E943" i="20" s="1"/>
  <c r="F943" i="20" s="1"/>
  <c r="D944" i="20" s="1"/>
  <c r="E944" i="20" s="1"/>
  <c r="F944" i="20" s="1"/>
  <c r="D945" i="20" s="1"/>
  <c r="E945" i="20" s="1"/>
  <c r="F945" i="20" s="1"/>
  <c r="D946" i="20" s="1"/>
  <c r="E946" i="20" s="1"/>
  <c r="F946" i="20" s="1"/>
  <c r="D947" i="20" s="1"/>
  <c r="E947" i="20" s="1"/>
  <c r="F947" i="20" s="1"/>
  <c r="D948" i="20" s="1"/>
  <c r="E948" i="20" s="1"/>
  <c r="F948" i="20" s="1"/>
  <c r="D949" i="20" s="1"/>
  <c r="E949" i="20" s="1"/>
  <c r="F949" i="20" s="1"/>
  <c r="D950" i="20" s="1"/>
  <c r="E950" i="20" s="1"/>
  <c r="F950" i="20" s="1"/>
  <c r="D951" i="20" s="1"/>
  <c r="E951" i="20" s="1"/>
  <c r="F951" i="20" s="1"/>
  <c r="D952" i="20" s="1"/>
  <c r="E952" i="20" s="1"/>
  <c r="F952" i="20" s="1"/>
  <c r="D953" i="20" s="1"/>
  <c r="E953" i="20" s="1"/>
  <c r="F953" i="20" s="1"/>
  <c r="D954" i="20" s="1"/>
  <c r="E954" i="20" s="1"/>
  <c r="F954" i="20" s="1"/>
  <c r="D955" i="20" s="1"/>
  <c r="E955" i="20" s="1"/>
  <c r="F955" i="20" s="1"/>
  <c r="D956" i="20" s="1"/>
  <c r="E956" i="20" s="1"/>
  <c r="F956" i="20" s="1"/>
  <c r="D957" i="20" s="1"/>
  <c r="E957" i="20" s="1"/>
  <c r="F957" i="20" s="1"/>
  <c r="D958" i="20" s="1"/>
  <c r="E958" i="20" s="1"/>
  <c r="F958" i="20" s="1"/>
  <c r="D959" i="20" s="1"/>
  <c r="E959" i="20" s="1"/>
  <c r="F959" i="20" s="1"/>
  <c r="D960" i="20" s="1"/>
  <c r="E960" i="20" s="1"/>
  <c r="F960" i="20" s="1"/>
  <c r="D961" i="20" s="1"/>
  <c r="E961" i="20" s="1"/>
  <c r="F961" i="20" s="1"/>
  <c r="D962" i="20" s="1"/>
  <c r="E962" i="20" s="1"/>
  <c r="F962" i="20" s="1"/>
  <c r="D963" i="20" s="1"/>
  <c r="E963" i="20" s="1"/>
  <c r="F963" i="20" s="1"/>
  <c r="D964" i="20" s="1"/>
  <c r="E964" i="20" s="1"/>
  <c r="F964" i="20" s="1"/>
  <c r="D965" i="20" s="1"/>
  <c r="D187" i="20"/>
  <c r="I188" i="20" s="1"/>
  <c r="E191" i="20" s="1"/>
  <c r="F191" i="20" s="1"/>
  <c r="D192" i="20" s="1"/>
  <c r="E192" i="20" s="1"/>
  <c r="F192" i="20" s="1"/>
  <c r="D193" i="20" s="1"/>
  <c r="E193" i="20" s="1"/>
  <c r="F193" i="20" s="1"/>
  <c r="D194" i="20" s="1"/>
  <c r="E194" i="20" s="1"/>
  <c r="F194" i="20" s="1"/>
  <c r="D195" i="20" s="1"/>
  <c r="E195" i="20" s="1"/>
  <c r="F195" i="20" s="1"/>
  <c r="D196" i="20" s="1"/>
  <c r="E196" i="20" s="1"/>
  <c r="F196" i="20" s="1"/>
  <c r="D197" i="20" s="1"/>
  <c r="E197" i="20" s="1"/>
  <c r="F197" i="20" s="1"/>
  <c r="D198" i="20" s="1"/>
  <c r="E198" i="20" s="1"/>
  <c r="F198" i="20" s="1"/>
  <c r="D199" i="20" s="1"/>
  <c r="E199" i="20" s="1"/>
  <c r="F199" i="20" s="1"/>
  <c r="D200" i="20" s="1"/>
  <c r="E200" i="20" s="1"/>
  <c r="F200" i="20" s="1"/>
  <c r="D201" i="20" s="1"/>
  <c r="E201" i="20" s="1"/>
  <c r="F201" i="20" s="1"/>
  <c r="D202" i="20" s="1"/>
  <c r="E202" i="20" s="1"/>
  <c r="F202" i="20" s="1"/>
  <c r="D203" i="20" s="1"/>
  <c r="E203" i="20" s="1"/>
  <c r="F203" i="20" s="1"/>
  <c r="D204" i="20" s="1"/>
  <c r="E204" i="20" s="1"/>
  <c r="F204" i="20" s="1"/>
  <c r="D205" i="20" s="1"/>
  <c r="E205" i="20" s="1"/>
  <c r="F205" i="20" s="1"/>
  <c r="D206" i="20" s="1"/>
  <c r="E206" i="20" s="1"/>
  <c r="F206" i="20" s="1"/>
  <c r="D207" i="20" s="1"/>
  <c r="E207" i="20" s="1"/>
  <c r="F207" i="20" s="1"/>
  <c r="D208" i="20" s="1"/>
  <c r="E208" i="20" s="1"/>
  <c r="F208" i="20" s="1"/>
  <c r="D209" i="20" s="1"/>
  <c r="E209" i="20" s="1"/>
  <c r="F209" i="20" s="1"/>
  <c r="D210" i="20" s="1"/>
  <c r="E210" i="20" s="1"/>
  <c r="F210" i="20" s="1"/>
  <c r="D211" i="20" s="1"/>
  <c r="E211" i="20" s="1"/>
  <c r="F211" i="20" s="1"/>
  <c r="D212" i="20" s="1"/>
  <c r="E212" i="20" s="1"/>
  <c r="F212" i="20" s="1"/>
  <c r="D213" i="20" s="1"/>
  <c r="E213" i="20" s="1"/>
  <c r="F213" i="20" s="1"/>
  <c r="D214" i="20" s="1"/>
  <c r="E214" i="20" s="1"/>
  <c r="F214" i="20" s="1"/>
  <c r="D215" i="20" s="1"/>
  <c r="E215" i="20" s="1"/>
  <c r="F215" i="20" s="1"/>
  <c r="D216" i="20" s="1"/>
  <c r="E216" i="20" s="1"/>
  <c r="F216" i="20" s="1"/>
  <c r="D217" i="20" s="1"/>
  <c r="E217" i="20" s="1"/>
  <c r="F217" i="20" s="1"/>
  <c r="D218" i="20" s="1"/>
  <c r="E218" i="20" s="1"/>
  <c r="F218" i="20" s="1"/>
  <c r="D219" i="20" s="1"/>
  <c r="E219" i="20" s="1"/>
  <c r="F219" i="20" s="1"/>
  <c r="D220" i="20" s="1"/>
  <c r="E220" i="20" s="1"/>
  <c r="F220" i="20" s="1"/>
  <c r="D221" i="20" s="1"/>
  <c r="E221" i="20" s="1"/>
  <c r="F221" i="20" s="1"/>
  <c r="D222" i="20" s="1"/>
  <c r="E222" i="20" s="1"/>
  <c r="F222" i="20" s="1"/>
  <c r="D223" i="20" s="1"/>
  <c r="E223" i="20" s="1"/>
  <c r="F223" i="20" s="1"/>
  <c r="D224" i="20" s="1"/>
  <c r="E224" i="20" s="1"/>
  <c r="F224" i="20" s="1"/>
  <c r="D225" i="20" s="1"/>
  <c r="E225" i="20" s="1"/>
  <c r="F225" i="20" s="1"/>
  <c r="D226" i="20" s="1"/>
  <c r="E226" i="20" s="1"/>
  <c r="F226" i="20" s="1"/>
  <c r="D227" i="20" s="1"/>
  <c r="E227" i="20" s="1"/>
  <c r="F227" i="20" s="1"/>
  <c r="D228" i="20" s="1"/>
  <c r="E228" i="20" s="1"/>
  <c r="F228" i="20" s="1"/>
  <c r="D229" i="20" s="1"/>
  <c r="E229" i="20" s="1"/>
  <c r="F229" i="20" s="1"/>
  <c r="D230" i="20" s="1"/>
  <c r="E230" i="20" s="1"/>
  <c r="F230" i="20" s="1"/>
  <c r="D231" i="20" s="1"/>
  <c r="E231" i="20" s="1"/>
  <c r="F231" i="20" s="1"/>
  <c r="D232" i="20" s="1"/>
  <c r="E232" i="20" s="1"/>
  <c r="F232" i="20" s="1"/>
  <c r="D233" i="20" s="1"/>
  <c r="E233" i="20" s="1"/>
  <c r="F233" i="20" s="1"/>
  <c r="D234" i="20" s="1"/>
  <c r="E234" i="20" s="1"/>
  <c r="F234" i="20" s="1"/>
  <c r="D235" i="20" s="1"/>
  <c r="E235" i="20" s="1"/>
  <c r="F235" i="20" s="1"/>
  <c r="D236" i="20" s="1"/>
  <c r="E236" i="20" s="1"/>
  <c r="F236" i="20" s="1"/>
  <c r="D237" i="20" s="1"/>
  <c r="E237" i="20" s="1"/>
  <c r="F237" i="20" s="1"/>
  <c r="D238" i="20" s="1"/>
  <c r="E238" i="20" s="1"/>
  <c r="F238" i="20" s="1"/>
  <c r="D239" i="20" s="1"/>
  <c r="E239" i="20" s="1"/>
  <c r="F239" i="20" s="1"/>
  <c r="D240" i="20" s="1"/>
  <c r="E240" i="20" s="1"/>
  <c r="F240" i="20" s="1"/>
  <c r="D241" i="20" s="1"/>
  <c r="E241" i="20" s="1"/>
  <c r="F241" i="20" s="1"/>
  <c r="D242" i="20" s="1"/>
  <c r="E242" i="20" s="1"/>
  <c r="F242" i="20" s="1"/>
  <c r="D243" i="20" s="1"/>
  <c r="E243" i="20" s="1"/>
  <c r="F243" i="20" s="1"/>
  <c r="D244" i="20" s="1"/>
  <c r="E244" i="20" s="1"/>
  <c r="F244" i="20" s="1"/>
  <c r="D245" i="20" s="1"/>
  <c r="E245" i="20" s="1"/>
  <c r="F245" i="20" s="1"/>
  <c r="D246" i="20" s="1"/>
  <c r="E246" i="20" s="1"/>
  <c r="F246" i="20" s="1"/>
  <c r="D247" i="20" s="1"/>
  <c r="E247" i="20" s="1"/>
  <c r="F247" i="20" s="1"/>
  <c r="D248" i="20" s="1"/>
  <c r="E248" i="20" s="1"/>
  <c r="F248" i="20" s="1"/>
  <c r="D249" i="20" s="1"/>
  <c r="E249" i="20" s="1"/>
  <c r="F249" i="20" s="1"/>
  <c r="D250" i="20" s="1"/>
  <c r="D97" i="20"/>
  <c r="I98" i="20" s="1"/>
  <c r="E101" i="20" s="1"/>
  <c r="F101" i="20" s="1"/>
  <c r="D102" i="20" s="1"/>
  <c r="E102" i="20" s="1"/>
  <c r="F102" i="20" s="1"/>
  <c r="D103" i="20" s="1"/>
  <c r="E103" i="20" s="1"/>
  <c r="F103" i="20" s="1"/>
  <c r="D104" i="20" s="1"/>
  <c r="E104" i="20" s="1"/>
  <c r="F104" i="20" s="1"/>
  <c r="D105" i="20" s="1"/>
  <c r="E105" i="20" s="1"/>
  <c r="F105" i="20" s="1"/>
  <c r="D106" i="20" s="1"/>
  <c r="E106" i="20" s="1"/>
  <c r="F106" i="20" s="1"/>
  <c r="D107" i="20" s="1"/>
  <c r="E107" i="20" s="1"/>
  <c r="F107" i="20" s="1"/>
  <c r="D108" i="20" s="1"/>
  <c r="E108" i="20" s="1"/>
  <c r="F108" i="20" s="1"/>
  <c r="D109" i="20" s="1"/>
  <c r="E109" i="20" s="1"/>
  <c r="F109" i="20" s="1"/>
  <c r="D110" i="20" s="1"/>
  <c r="E110" i="20" s="1"/>
  <c r="F110" i="20" s="1"/>
  <c r="D111" i="20" s="1"/>
  <c r="E111" i="20" s="1"/>
  <c r="F111" i="20" s="1"/>
  <c r="D112" i="20" s="1"/>
  <c r="E112" i="20" s="1"/>
  <c r="F112" i="20" s="1"/>
  <c r="D113" i="20" s="1"/>
  <c r="E113" i="20" s="1"/>
  <c r="F113" i="20" s="1"/>
  <c r="D114" i="20" s="1"/>
  <c r="E114" i="20" s="1"/>
  <c r="F114" i="20" s="1"/>
  <c r="D115" i="20" s="1"/>
  <c r="E115" i="20" s="1"/>
  <c r="F115" i="20" s="1"/>
  <c r="D116" i="20" s="1"/>
  <c r="E116" i="20" s="1"/>
  <c r="F116" i="20" s="1"/>
  <c r="D117" i="20" s="1"/>
  <c r="E117" i="20" s="1"/>
  <c r="F117" i="20" s="1"/>
  <c r="D118" i="20" s="1"/>
  <c r="E118" i="20" s="1"/>
  <c r="F118" i="20" s="1"/>
  <c r="D119" i="20" s="1"/>
  <c r="E119" i="20" s="1"/>
  <c r="F119" i="20" s="1"/>
  <c r="D120" i="20" s="1"/>
  <c r="E120" i="20" s="1"/>
  <c r="F120" i="20" s="1"/>
  <c r="D121" i="20" s="1"/>
  <c r="E121" i="20" s="1"/>
  <c r="F121" i="20" s="1"/>
  <c r="D122" i="20" s="1"/>
  <c r="E122" i="20" s="1"/>
  <c r="F122" i="20" s="1"/>
  <c r="D123" i="20" s="1"/>
  <c r="E123" i="20" s="1"/>
  <c r="F123" i="20" s="1"/>
  <c r="D124" i="20" s="1"/>
  <c r="E124" i="20" s="1"/>
  <c r="F124" i="20" s="1"/>
  <c r="D125" i="20" s="1"/>
  <c r="E125" i="20" s="1"/>
  <c r="F125" i="20" s="1"/>
  <c r="D126" i="20" s="1"/>
  <c r="E126" i="20" s="1"/>
  <c r="F126" i="20" s="1"/>
  <c r="D127" i="20" s="1"/>
  <c r="E127" i="20" s="1"/>
  <c r="F127" i="20" s="1"/>
  <c r="D128" i="20" s="1"/>
  <c r="E128" i="20" s="1"/>
  <c r="F128" i="20" s="1"/>
  <c r="D129" i="20" s="1"/>
  <c r="E129" i="20" s="1"/>
  <c r="F129" i="20" s="1"/>
  <c r="D130" i="20" s="1"/>
  <c r="E130" i="20" s="1"/>
  <c r="F130" i="20" s="1"/>
  <c r="D131" i="20" s="1"/>
  <c r="E131" i="20" s="1"/>
  <c r="F131" i="20" s="1"/>
  <c r="D132" i="20" s="1"/>
  <c r="E132" i="20" s="1"/>
  <c r="F132" i="20" s="1"/>
  <c r="D133" i="20" s="1"/>
  <c r="E133" i="20" s="1"/>
  <c r="F133" i="20" s="1"/>
  <c r="D134" i="20" s="1"/>
  <c r="E134" i="20" s="1"/>
  <c r="F134" i="20" s="1"/>
  <c r="D135" i="20" s="1"/>
  <c r="E135" i="20" s="1"/>
  <c r="F135" i="20" s="1"/>
  <c r="D136" i="20" s="1"/>
  <c r="E136" i="20" s="1"/>
  <c r="F136" i="20" s="1"/>
  <c r="D137" i="20" s="1"/>
  <c r="E137" i="20" s="1"/>
  <c r="F137" i="20" s="1"/>
  <c r="D138" i="20" s="1"/>
  <c r="E138" i="20" s="1"/>
  <c r="F138" i="20" s="1"/>
  <c r="D139" i="20" s="1"/>
  <c r="E139" i="20" s="1"/>
  <c r="F139" i="20" s="1"/>
  <c r="D140" i="20" s="1"/>
  <c r="E140" i="20" s="1"/>
  <c r="F140" i="20" s="1"/>
  <c r="D141" i="20" s="1"/>
  <c r="E141" i="20" s="1"/>
  <c r="F141" i="20" s="1"/>
  <c r="D142" i="20" s="1"/>
  <c r="E142" i="20" s="1"/>
  <c r="F142" i="20" s="1"/>
  <c r="D143" i="20" s="1"/>
  <c r="E143" i="20" s="1"/>
  <c r="F143" i="20" s="1"/>
  <c r="D144" i="20" s="1"/>
  <c r="E144" i="20" s="1"/>
  <c r="F144" i="20" s="1"/>
  <c r="D145" i="20" s="1"/>
  <c r="E145" i="20" s="1"/>
  <c r="F145" i="20" s="1"/>
  <c r="D146" i="20" s="1"/>
  <c r="E146" i="20" s="1"/>
  <c r="F146" i="20" s="1"/>
  <c r="D147" i="20" s="1"/>
  <c r="E147" i="20" s="1"/>
  <c r="F147" i="20" s="1"/>
  <c r="D148" i="20" s="1"/>
  <c r="E148" i="20" s="1"/>
  <c r="F148" i="20" s="1"/>
  <c r="D149" i="20" s="1"/>
  <c r="E149" i="20" s="1"/>
  <c r="F149" i="20" s="1"/>
  <c r="D150" i="20" s="1"/>
  <c r="E150" i="20" s="1"/>
  <c r="F150" i="20" s="1"/>
  <c r="D151" i="20" s="1"/>
  <c r="E151" i="20" s="1"/>
  <c r="F151" i="20" s="1"/>
  <c r="D152" i="20" s="1"/>
  <c r="E152" i="20" s="1"/>
  <c r="F152" i="20" s="1"/>
  <c r="D153" i="20" s="1"/>
  <c r="E153" i="20" s="1"/>
  <c r="F153" i="20" s="1"/>
  <c r="D154" i="20" s="1"/>
  <c r="E154" i="20" s="1"/>
  <c r="F154" i="20" s="1"/>
  <c r="D155" i="20" s="1"/>
  <c r="E155" i="20" s="1"/>
  <c r="F155" i="20" s="1"/>
  <c r="D156" i="20" s="1"/>
  <c r="E156" i="20" s="1"/>
  <c r="F156" i="20" s="1"/>
  <c r="D157" i="20" s="1"/>
  <c r="E157" i="20" s="1"/>
  <c r="F157" i="20" s="1"/>
  <c r="D158" i="20" s="1"/>
  <c r="E158" i="20" s="1"/>
  <c r="F158" i="20" s="1"/>
  <c r="D159" i="20" s="1"/>
  <c r="E159" i="20" s="1"/>
  <c r="F159" i="20" s="1"/>
  <c r="D160" i="20" s="1"/>
  <c r="D1134" i="13"/>
  <c r="J1135" i="13" s="1"/>
  <c r="E1138" i="13" s="1"/>
  <c r="F1138" i="13" s="1"/>
  <c r="D879" i="13"/>
  <c r="J880" i="13" s="1"/>
  <c r="E883" i="13" s="1"/>
  <c r="F883" i="13" s="1"/>
  <c r="D792" i="13"/>
  <c r="J793" i="13" s="1"/>
  <c r="E796" i="13" s="1"/>
  <c r="F796" i="13" s="1"/>
  <c r="D444" i="13"/>
  <c r="J445" i="13" s="1"/>
  <c r="E448" i="13" s="1"/>
  <c r="F448" i="13" s="1"/>
  <c r="D618" i="13"/>
  <c r="J619" i="13" s="1"/>
  <c r="E622" i="13" s="1"/>
  <c r="F622" i="13" s="1"/>
  <c r="D705" i="13"/>
  <c r="J706" i="13" s="1"/>
  <c r="E709" i="13" s="1"/>
  <c r="F709" i="13" s="1"/>
  <c r="D531" i="13"/>
  <c r="J532" i="13" s="1"/>
  <c r="E535" i="13" s="1"/>
  <c r="F535" i="13" s="1"/>
  <c r="D96" i="13"/>
  <c r="J97" i="13" s="1"/>
  <c r="E100" i="13" s="1"/>
  <c r="F100" i="13" s="1"/>
  <c r="D1050" i="13"/>
  <c r="J1051" i="13" s="1"/>
  <c r="E1054" i="13" s="1"/>
  <c r="F1054" i="13" s="1"/>
  <c r="D357" i="13"/>
  <c r="J358" i="13" s="1"/>
  <c r="E361" i="13" s="1"/>
  <c r="F361" i="13" s="1"/>
  <c r="D966" i="13"/>
  <c r="J967" i="13" s="1"/>
  <c r="E970" i="13" s="1"/>
  <c r="F970" i="13" s="1"/>
  <c r="D183" i="13"/>
  <c r="J184" i="13" s="1"/>
  <c r="E187" i="13" s="1"/>
  <c r="F187" i="13" s="1"/>
  <c r="D270" i="13"/>
  <c r="J271" i="13" s="1"/>
  <c r="E274" i="13" s="1"/>
  <c r="F274" i="13" s="1"/>
  <c r="L70" i="2"/>
  <c r="J70" i="2" s="1"/>
  <c r="L83" i="2"/>
  <c r="E965" i="20" l="1"/>
  <c r="E966" i="20" s="1"/>
  <c r="E250" i="20"/>
  <c r="E251" i="20" s="1"/>
  <c r="E428" i="20"/>
  <c r="E429" i="20" s="1"/>
  <c r="G883" i="13"/>
  <c r="D884" i="13"/>
  <c r="F64" i="13"/>
  <c r="L87" i="2"/>
  <c r="J87" i="2" s="1"/>
  <c r="G64" i="20"/>
  <c r="E874" i="20"/>
  <c r="E875" i="20" s="1"/>
  <c r="E160" i="20"/>
  <c r="E161" i="20" s="1"/>
  <c r="G274" i="13"/>
  <c r="D275" i="13"/>
  <c r="D188" i="13"/>
  <c r="G187" i="13"/>
  <c r="D971" i="13"/>
  <c r="G970" i="13"/>
  <c r="G361" i="13"/>
  <c r="D362" i="13"/>
  <c r="E518" i="20"/>
  <c r="E519" i="20" s="1"/>
  <c r="E339" i="20"/>
  <c r="E340" i="20" s="1"/>
  <c r="G100" i="13"/>
  <c r="D101" i="13"/>
  <c r="G535" i="13"/>
  <c r="D536" i="13"/>
  <c r="E785" i="20"/>
  <c r="E786" i="20" s="1"/>
  <c r="G1138" i="13"/>
  <c r="D1139" i="13"/>
  <c r="J111" i="2"/>
  <c r="L111" i="2" s="1"/>
  <c r="J109" i="2"/>
  <c r="L109" i="2" s="1"/>
  <c r="J173" i="2"/>
  <c r="L173" i="2" s="1"/>
  <c r="L174" i="2" s="1"/>
  <c r="J148" i="2"/>
  <c r="L148" i="2" s="1"/>
  <c r="L154" i="2" s="1"/>
  <c r="L156" i="2" s="1"/>
  <c r="L158" i="2" s="1"/>
  <c r="E607" i="20"/>
  <c r="E608" i="20" s="1"/>
  <c r="G448" i="13"/>
  <c r="D449" i="13"/>
  <c r="E696" i="20"/>
  <c r="E697" i="20" s="1"/>
  <c r="D1055" i="13"/>
  <c r="G1054" i="13"/>
  <c r="G709" i="13"/>
  <c r="D710" i="13"/>
  <c r="D623" i="13"/>
  <c r="G622" i="13"/>
  <c r="G796" i="13"/>
  <c r="D797" i="13"/>
  <c r="F250" i="20" l="1"/>
  <c r="F965" i="20"/>
  <c r="L114" i="2"/>
  <c r="L118" i="2" s="1"/>
  <c r="F874" i="20"/>
  <c r="F785" i="20"/>
  <c r="F428" i="20"/>
  <c r="F339" i="20"/>
  <c r="F160" i="20"/>
  <c r="E797" i="13"/>
  <c r="F797" i="13" s="1"/>
  <c r="D798" i="13" s="1"/>
  <c r="E710" i="13"/>
  <c r="F710" i="13" s="1"/>
  <c r="D711" i="13" s="1"/>
  <c r="E971" i="13"/>
  <c r="F971" i="13" s="1"/>
  <c r="D972" i="13" s="1"/>
  <c r="E884" i="13"/>
  <c r="F884" i="13" s="1"/>
  <c r="D885" i="13" s="1"/>
  <c r="E536" i="13"/>
  <c r="F536" i="13" s="1"/>
  <c r="D537" i="13" s="1"/>
  <c r="F518" i="20"/>
  <c r="E1139" i="13"/>
  <c r="F1139" i="13" s="1"/>
  <c r="D1140" i="13" s="1"/>
  <c r="F696" i="20"/>
  <c r="E449" i="13"/>
  <c r="F449" i="13" s="1"/>
  <c r="D450" i="13" s="1"/>
  <c r="E101" i="13"/>
  <c r="F101" i="13" s="1"/>
  <c r="D102" i="13" s="1"/>
  <c r="E362" i="13"/>
  <c r="F362" i="13" s="1"/>
  <c r="D363" i="13" s="1"/>
  <c r="E623" i="13"/>
  <c r="F623" i="13" s="1"/>
  <c r="D624" i="13" s="1"/>
  <c r="J183" i="2"/>
  <c r="L183" i="2" s="1"/>
  <c r="L187" i="2" s="1"/>
  <c r="J184" i="2"/>
  <c r="L184" i="2" s="1"/>
  <c r="L188" i="2" s="1"/>
  <c r="J186" i="2"/>
  <c r="L186" i="2" s="1"/>
  <c r="E1055" i="13"/>
  <c r="F1055" i="13" s="1"/>
  <c r="D1056" i="13" s="1"/>
  <c r="E188" i="13"/>
  <c r="F188" i="13" s="1"/>
  <c r="D189" i="13" s="1"/>
  <c r="E275" i="13"/>
  <c r="F275" i="13" s="1"/>
  <c r="D276" i="13" s="1"/>
  <c r="F607" i="20"/>
  <c r="E28" i="13" l="1"/>
  <c r="F28" i="20"/>
  <c r="G101" i="13"/>
  <c r="G188" i="13"/>
  <c r="G536" i="13"/>
  <c r="G710" i="13"/>
  <c r="G449" i="13"/>
  <c r="G884" i="13"/>
  <c r="G623" i="13"/>
  <c r="E537" i="13"/>
  <c r="F537" i="13" s="1"/>
  <c r="D538" i="13" s="1"/>
  <c r="E39" i="13"/>
  <c r="F39" i="20"/>
  <c r="E38" i="13"/>
  <c r="F38" i="20"/>
  <c r="E624" i="13"/>
  <c r="F624" i="13" s="1"/>
  <c r="D625" i="13" s="1"/>
  <c r="E885" i="13"/>
  <c r="F885" i="13" s="1"/>
  <c r="D886" i="13" s="1"/>
  <c r="E37" i="13"/>
  <c r="F37" i="20"/>
  <c r="G362" i="13"/>
  <c r="G275" i="13"/>
  <c r="E102" i="13"/>
  <c r="F102" i="13" s="1"/>
  <c r="D103" i="13" s="1"/>
  <c r="G971" i="13"/>
  <c r="E276" i="13"/>
  <c r="F276" i="13" s="1"/>
  <c r="D277" i="13" s="1"/>
  <c r="E450" i="13"/>
  <c r="F450" i="13" s="1"/>
  <c r="D451" i="13" s="1"/>
  <c r="E972" i="13"/>
  <c r="F972" i="13" s="1"/>
  <c r="D973" i="13" s="1"/>
  <c r="E189" i="13"/>
  <c r="F189" i="13" s="1"/>
  <c r="D190" i="13" s="1"/>
  <c r="E711" i="13"/>
  <c r="F711" i="13" s="1"/>
  <c r="D712" i="13" s="1"/>
  <c r="G1055" i="13"/>
  <c r="G1139" i="13"/>
  <c r="G797" i="13"/>
  <c r="E363" i="13"/>
  <c r="F363" i="13" s="1"/>
  <c r="D364" i="13" s="1"/>
  <c r="E1056" i="13"/>
  <c r="F1056" i="13" s="1"/>
  <c r="D1057" i="13" s="1"/>
  <c r="E1140" i="13"/>
  <c r="F1140" i="13" s="1"/>
  <c r="D1141" i="13" s="1"/>
  <c r="E798" i="13"/>
  <c r="F798" i="13" s="1"/>
  <c r="D799" i="13" s="1"/>
  <c r="G363" i="13" l="1"/>
  <c r="G276" i="13"/>
  <c r="G450" i="13"/>
  <c r="G711" i="13"/>
  <c r="G885" i="13"/>
  <c r="G1056" i="13"/>
  <c r="G798" i="13"/>
  <c r="G189" i="13"/>
  <c r="E451" i="13"/>
  <c r="F451" i="13" s="1"/>
  <c r="D452" i="13" s="1"/>
  <c r="G624" i="13"/>
  <c r="E886" i="13"/>
  <c r="F886" i="13" s="1"/>
  <c r="D887" i="13" s="1"/>
  <c r="E712" i="13"/>
  <c r="F712" i="13" s="1"/>
  <c r="D713" i="13" s="1"/>
  <c r="E103" i="13"/>
  <c r="F103" i="13" s="1"/>
  <c r="D104" i="13" s="1"/>
  <c r="E364" i="13"/>
  <c r="F364" i="13" s="1"/>
  <c r="D365" i="13" s="1"/>
  <c r="E1057" i="13"/>
  <c r="F1057" i="13" s="1"/>
  <c r="D1058" i="13" s="1"/>
  <c r="G102" i="13"/>
  <c r="E799" i="13"/>
  <c r="F799" i="13" s="1"/>
  <c r="D800" i="13" s="1"/>
  <c r="E190" i="13"/>
  <c r="F190" i="13" s="1"/>
  <c r="D191" i="13" s="1"/>
  <c r="G972" i="13"/>
  <c r="E277" i="13"/>
  <c r="F277" i="13" s="1"/>
  <c r="D278" i="13" s="1"/>
  <c r="G1140" i="13"/>
  <c r="G537" i="13"/>
  <c r="E973" i="13"/>
  <c r="F973" i="13" s="1"/>
  <c r="D974" i="13" s="1"/>
  <c r="E625" i="13"/>
  <c r="F625" i="13" s="1"/>
  <c r="D626" i="13" s="1"/>
  <c r="E1141" i="13"/>
  <c r="F1141" i="13" s="1"/>
  <c r="D1142" i="13" s="1"/>
  <c r="E538" i="13"/>
  <c r="F538" i="13" s="1"/>
  <c r="D539" i="13" s="1"/>
  <c r="G451" i="13" l="1"/>
  <c r="G886" i="13"/>
  <c r="G364" i="13"/>
  <c r="G712" i="13"/>
  <c r="G277" i="13"/>
  <c r="G973" i="13"/>
  <c r="G538" i="13"/>
  <c r="G190" i="13"/>
  <c r="G1141" i="13"/>
  <c r="G103" i="13"/>
  <c r="E974" i="13"/>
  <c r="F974" i="13" s="1"/>
  <c r="D975" i="13" s="1"/>
  <c r="E713" i="13"/>
  <c r="F713" i="13" s="1"/>
  <c r="D714" i="13" s="1"/>
  <c r="E191" i="13"/>
  <c r="F191" i="13" s="1"/>
  <c r="D192" i="13" s="1"/>
  <c r="E887" i="13"/>
  <c r="F887" i="13" s="1"/>
  <c r="D888" i="13" s="1"/>
  <c r="E1058" i="13"/>
  <c r="F1058" i="13" s="1"/>
  <c r="D1059" i="13" s="1"/>
  <c r="E365" i="13"/>
  <c r="F365" i="13" s="1"/>
  <c r="D366" i="13" s="1"/>
  <c r="E539" i="13"/>
  <c r="F539" i="13" s="1"/>
  <c r="D540" i="13" s="1"/>
  <c r="E1142" i="13"/>
  <c r="F1142" i="13" s="1"/>
  <c r="D1143" i="13" s="1"/>
  <c r="G799" i="13"/>
  <c r="E452" i="13"/>
  <c r="F452" i="13" s="1"/>
  <c r="D453" i="13" s="1"/>
  <c r="E104" i="13"/>
  <c r="F104" i="13" s="1"/>
  <c r="D105" i="13" s="1"/>
  <c r="E800" i="13"/>
  <c r="F800" i="13" s="1"/>
  <c r="D801" i="13" s="1"/>
  <c r="E626" i="13"/>
  <c r="F626" i="13" s="1"/>
  <c r="D627" i="13" s="1"/>
  <c r="E278" i="13"/>
  <c r="F278" i="13" s="1"/>
  <c r="D279" i="13" s="1"/>
  <c r="G625" i="13"/>
  <c r="G1057" i="13"/>
  <c r="G104" i="13" l="1"/>
  <c r="G626" i="13"/>
  <c r="G1142" i="13"/>
  <c r="G191" i="13"/>
  <c r="G539" i="13"/>
  <c r="G452" i="13"/>
  <c r="G278" i="13"/>
  <c r="G887" i="13"/>
  <c r="G713" i="13"/>
  <c r="G974" i="13"/>
  <c r="G365" i="13"/>
  <c r="E1059" i="13"/>
  <c r="F1059" i="13" s="1"/>
  <c r="D1060" i="13" s="1"/>
  <c r="E627" i="13"/>
  <c r="F627" i="13" s="1"/>
  <c r="D628" i="13" s="1"/>
  <c r="G800" i="13"/>
  <c r="E105" i="13"/>
  <c r="F105" i="13" s="1"/>
  <c r="D106" i="13" s="1"/>
  <c r="E888" i="13"/>
  <c r="F888" i="13" s="1"/>
  <c r="D889" i="13" s="1"/>
  <c r="E801" i="13"/>
  <c r="F801" i="13" s="1"/>
  <c r="D802" i="13" s="1"/>
  <c r="E366" i="13"/>
  <c r="F366" i="13" s="1"/>
  <c r="D367" i="13" s="1"/>
  <c r="E453" i="13"/>
  <c r="F453" i="13" s="1"/>
  <c r="D454" i="13" s="1"/>
  <c r="E1143" i="13"/>
  <c r="F1143" i="13" s="1"/>
  <c r="D1144" i="13" s="1"/>
  <c r="E714" i="13"/>
  <c r="F714" i="13" s="1"/>
  <c r="D715" i="13" s="1"/>
  <c r="G1058" i="13"/>
  <c r="E192" i="13"/>
  <c r="F192" i="13" s="1"/>
  <c r="D193" i="13" s="1"/>
  <c r="E279" i="13"/>
  <c r="F279" i="13" s="1"/>
  <c r="D280" i="13" s="1"/>
  <c r="E540" i="13"/>
  <c r="F540" i="13" s="1"/>
  <c r="D541" i="13" s="1"/>
  <c r="E975" i="13"/>
  <c r="F975" i="13" s="1"/>
  <c r="D976" i="13" s="1"/>
  <c r="G540" i="13" l="1"/>
  <c r="G801" i="13"/>
  <c r="G192" i="13"/>
  <c r="G105" i="13"/>
  <c r="G1059" i="13"/>
  <c r="E1144" i="13"/>
  <c r="F1144" i="13" s="1"/>
  <c r="D1145" i="13" s="1"/>
  <c r="G627" i="13"/>
  <c r="G975" i="13"/>
  <c r="E454" i="13"/>
  <c r="F454" i="13" s="1"/>
  <c r="D455" i="13" s="1"/>
  <c r="E541" i="13"/>
  <c r="F541" i="13" s="1"/>
  <c r="D542" i="13" s="1"/>
  <c r="G453" i="13"/>
  <c r="E1060" i="13"/>
  <c r="F1060" i="13" s="1"/>
  <c r="D1061" i="13" s="1"/>
  <c r="G279" i="13"/>
  <c r="G366" i="13"/>
  <c r="E976" i="13"/>
  <c r="F976" i="13" s="1"/>
  <c r="D977" i="13" s="1"/>
  <c r="G714" i="13"/>
  <c r="G888" i="13"/>
  <c r="E628" i="13"/>
  <c r="F628" i="13" s="1"/>
  <c r="D629" i="13" s="1"/>
  <c r="E280" i="13"/>
  <c r="F280" i="13" s="1"/>
  <c r="D281" i="13" s="1"/>
  <c r="E367" i="13"/>
  <c r="F367" i="13" s="1"/>
  <c r="D368" i="13" s="1"/>
  <c r="E106" i="13"/>
  <c r="F106" i="13" s="1"/>
  <c r="D107" i="13" s="1"/>
  <c r="E193" i="13"/>
  <c r="F193" i="13" s="1"/>
  <c r="D194" i="13" s="1"/>
  <c r="E802" i="13"/>
  <c r="F802" i="13" s="1"/>
  <c r="D803" i="13" s="1"/>
  <c r="E715" i="13"/>
  <c r="F715" i="13" s="1"/>
  <c r="D716" i="13" s="1"/>
  <c r="E889" i="13"/>
  <c r="F889" i="13" s="1"/>
  <c r="D890" i="13" s="1"/>
  <c r="G1143" i="13"/>
  <c r="G193" i="13" l="1"/>
  <c r="G976" i="13"/>
  <c r="G1144" i="13"/>
  <c r="G889" i="13"/>
  <c r="G1060" i="13"/>
  <c r="G106" i="13"/>
  <c r="E716" i="13"/>
  <c r="F716" i="13" s="1"/>
  <c r="D717" i="13" s="1"/>
  <c r="G541" i="13"/>
  <c r="G367" i="13"/>
  <c r="G454" i="13"/>
  <c r="E368" i="13"/>
  <c r="F368" i="13" s="1"/>
  <c r="D369" i="13" s="1"/>
  <c r="E455" i="13"/>
  <c r="F455" i="13" s="1"/>
  <c r="D456" i="13" s="1"/>
  <c r="G280" i="13"/>
  <c r="G802" i="13"/>
  <c r="E281" i="13"/>
  <c r="F281" i="13" s="1"/>
  <c r="D282" i="13" s="1"/>
  <c r="E977" i="13"/>
  <c r="F977" i="13" s="1"/>
  <c r="D978" i="13" s="1"/>
  <c r="E1145" i="13"/>
  <c r="F1145" i="13" s="1"/>
  <c r="D1146" i="13" s="1"/>
  <c r="E542" i="13"/>
  <c r="F542" i="13" s="1"/>
  <c r="D543" i="13" s="1"/>
  <c r="G715" i="13"/>
  <c r="E629" i="13"/>
  <c r="F629" i="13" s="1"/>
  <c r="D630" i="13" s="1"/>
  <c r="E803" i="13"/>
  <c r="F803" i="13" s="1"/>
  <c r="D804" i="13" s="1"/>
  <c r="E194" i="13"/>
  <c r="F194" i="13" s="1"/>
  <c r="D195" i="13" s="1"/>
  <c r="E890" i="13"/>
  <c r="F890" i="13" s="1"/>
  <c r="D891" i="13" s="1"/>
  <c r="E1061" i="13"/>
  <c r="F1061" i="13" s="1"/>
  <c r="D1062" i="13" s="1"/>
  <c r="E107" i="13"/>
  <c r="F107" i="13" s="1"/>
  <c r="D108" i="13" s="1"/>
  <c r="G628" i="13"/>
  <c r="G629" i="13" l="1"/>
  <c r="G281" i="13"/>
  <c r="G1061" i="13"/>
  <c r="G890" i="13"/>
  <c r="G1145" i="13"/>
  <c r="G803" i="13"/>
  <c r="G716" i="13"/>
  <c r="G455" i="13"/>
  <c r="E630" i="13"/>
  <c r="F630" i="13" s="1"/>
  <c r="D631" i="13" s="1"/>
  <c r="G107" i="13"/>
  <c r="G194" i="13"/>
  <c r="G542" i="13"/>
  <c r="G977" i="13"/>
  <c r="E108" i="13"/>
  <c r="F108" i="13" s="1"/>
  <c r="D109" i="13" s="1"/>
  <c r="E195" i="13"/>
  <c r="F195" i="13" s="1"/>
  <c r="D196" i="13" s="1"/>
  <c r="E543" i="13"/>
  <c r="F543" i="13" s="1"/>
  <c r="D544" i="13" s="1"/>
  <c r="E978" i="13"/>
  <c r="F978" i="13" s="1"/>
  <c r="D979" i="13" s="1"/>
  <c r="E804" i="13"/>
  <c r="F804" i="13" s="1"/>
  <c r="D805" i="13" s="1"/>
  <c r="E717" i="13"/>
  <c r="F717" i="13" s="1"/>
  <c r="D718" i="13" s="1"/>
  <c r="E1062" i="13"/>
  <c r="F1062" i="13" s="1"/>
  <c r="D1063" i="13" s="1"/>
  <c r="E282" i="13"/>
  <c r="F282" i="13" s="1"/>
  <c r="D283" i="13" s="1"/>
  <c r="E456" i="13"/>
  <c r="F456" i="13" s="1"/>
  <c r="D457" i="13" s="1"/>
  <c r="E1146" i="13"/>
  <c r="F1146" i="13" s="1"/>
  <c r="D1147" i="13" s="1"/>
  <c r="E369" i="13"/>
  <c r="F369" i="13" s="1"/>
  <c r="D370" i="13" s="1"/>
  <c r="E891" i="13"/>
  <c r="F891" i="13" s="1"/>
  <c r="D892" i="13" s="1"/>
  <c r="G368" i="13"/>
  <c r="G804" i="13" l="1"/>
  <c r="G456" i="13"/>
  <c r="G630" i="13"/>
  <c r="G195" i="13"/>
  <c r="G108" i="13"/>
  <c r="G978" i="13"/>
  <c r="G543" i="13"/>
  <c r="G1062" i="13"/>
  <c r="G369" i="13"/>
  <c r="G717" i="13"/>
  <c r="E544" i="13"/>
  <c r="F544" i="13" s="1"/>
  <c r="D545" i="13" s="1"/>
  <c r="E805" i="13"/>
  <c r="F805" i="13" s="1"/>
  <c r="D806" i="13" s="1"/>
  <c r="E109" i="13"/>
  <c r="F109" i="13" s="1"/>
  <c r="D110" i="13" s="1"/>
  <c r="E1147" i="13"/>
  <c r="F1147" i="13" s="1"/>
  <c r="D1148" i="13" s="1"/>
  <c r="E370" i="13"/>
  <c r="F370" i="13" s="1"/>
  <c r="D371" i="13" s="1"/>
  <c r="E718" i="13"/>
  <c r="F718" i="13" s="1"/>
  <c r="D719" i="13" s="1"/>
  <c r="E1063" i="13"/>
  <c r="F1063" i="13" s="1"/>
  <c r="D1064" i="13" s="1"/>
  <c r="E196" i="13"/>
  <c r="F196" i="13" s="1"/>
  <c r="D197" i="13" s="1"/>
  <c r="E457" i="13"/>
  <c r="F457" i="13" s="1"/>
  <c r="D458" i="13" s="1"/>
  <c r="E283" i="13"/>
  <c r="F283" i="13" s="1"/>
  <c r="D284" i="13" s="1"/>
  <c r="E892" i="13"/>
  <c r="F892" i="13" s="1"/>
  <c r="D893" i="13" s="1"/>
  <c r="G891" i="13"/>
  <c r="G1146" i="13"/>
  <c r="G282" i="13"/>
  <c r="E979" i="13"/>
  <c r="F979" i="13" s="1"/>
  <c r="D980" i="13" s="1"/>
  <c r="E631" i="13"/>
  <c r="F631" i="13" s="1"/>
  <c r="D632" i="13" s="1"/>
  <c r="G370" i="13" l="1"/>
  <c r="G544" i="13"/>
  <c r="G109" i="13"/>
  <c r="G805" i="13"/>
  <c r="G196" i="13"/>
  <c r="G1147" i="13"/>
  <c r="G892" i="13"/>
  <c r="G457" i="13"/>
  <c r="E893" i="13"/>
  <c r="F893" i="13" s="1"/>
  <c r="D894" i="13" s="1"/>
  <c r="E371" i="13"/>
  <c r="F371" i="13" s="1"/>
  <c r="D372" i="13" s="1"/>
  <c r="G631" i="13"/>
  <c r="E1148" i="13"/>
  <c r="F1148" i="13" s="1"/>
  <c r="D1149" i="13" s="1"/>
  <c r="E980" i="13"/>
  <c r="F980" i="13" s="1"/>
  <c r="D981" i="13" s="1"/>
  <c r="E719" i="13"/>
  <c r="F719" i="13" s="1"/>
  <c r="D720" i="13" s="1"/>
  <c r="E110" i="13"/>
  <c r="F110" i="13" s="1"/>
  <c r="D111" i="13" s="1"/>
  <c r="E458" i="13"/>
  <c r="F458" i="13" s="1"/>
  <c r="D459" i="13" s="1"/>
  <c r="G283" i="13"/>
  <c r="E197" i="13"/>
  <c r="F197" i="13" s="1"/>
  <c r="D198" i="13" s="1"/>
  <c r="G1063" i="13"/>
  <c r="E632" i="13"/>
  <c r="F632" i="13" s="1"/>
  <c r="D633" i="13" s="1"/>
  <c r="G718" i="13"/>
  <c r="E284" i="13"/>
  <c r="F284" i="13" s="1"/>
  <c r="D285" i="13" s="1"/>
  <c r="E806" i="13"/>
  <c r="F806" i="13" s="1"/>
  <c r="D807" i="13" s="1"/>
  <c r="E1064" i="13"/>
  <c r="F1064" i="13" s="1"/>
  <c r="D1065" i="13" s="1"/>
  <c r="G979" i="13"/>
  <c r="E545" i="13"/>
  <c r="F545" i="13" s="1"/>
  <c r="D546" i="13" s="1"/>
  <c r="G371" i="13" l="1"/>
  <c r="G197" i="13"/>
  <c r="G1148" i="13"/>
  <c r="G893" i="13"/>
  <c r="G632" i="13"/>
  <c r="E807" i="13"/>
  <c r="F807" i="13" s="1"/>
  <c r="D808" i="13" s="1"/>
  <c r="G806" i="13"/>
  <c r="E633" i="13"/>
  <c r="F633" i="13" s="1"/>
  <c r="D634" i="13" s="1"/>
  <c r="E1149" i="13"/>
  <c r="F1149" i="13" s="1"/>
  <c r="D1150" i="13" s="1"/>
  <c r="E720" i="13"/>
  <c r="F720" i="13" s="1"/>
  <c r="D721" i="13" s="1"/>
  <c r="G284" i="13"/>
  <c r="E285" i="13"/>
  <c r="F285" i="13" s="1"/>
  <c r="D286" i="13" s="1"/>
  <c r="G458" i="13"/>
  <c r="E372" i="13"/>
  <c r="F372" i="13" s="1"/>
  <c r="D373" i="13" s="1"/>
  <c r="E546" i="13"/>
  <c r="F546" i="13" s="1"/>
  <c r="D547" i="13" s="1"/>
  <c r="E459" i="13"/>
  <c r="F459" i="13" s="1"/>
  <c r="D460" i="13" s="1"/>
  <c r="E981" i="13"/>
  <c r="F981" i="13" s="1"/>
  <c r="D982" i="13" s="1"/>
  <c r="G545" i="13"/>
  <c r="G110" i="13"/>
  <c r="G980" i="13"/>
  <c r="E111" i="13"/>
  <c r="F111" i="13" s="1"/>
  <c r="D112" i="13" s="1"/>
  <c r="E894" i="13"/>
  <c r="F894" i="13" s="1"/>
  <c r="D895" i="13" s="1"/>
  <c r="E1065" i="13"/>
  <c r="F1065" i="13" s="1"/>
  <c r="D1066" i="13" s="1"/>
  <c r="G1064" i="13"/>
  <c r="E198" i="13"/>
  <c r="F198" i="13" s="1"/>
  <c r="D199" i="13" s="1"/>
  <c r="G719" i="13"/>
  <c r="G1065" i="13" l="1"/>
  <c r="G981" i="13"/>
  <c r="G546" i="13"/>
  <c r="G111" i="13"/>
  <c r="G459" i="13"/>
  <c r="G807" i="13"/>
  <c r="G720" i="13"/>
  <c r="G1149" i="13"/>
  <c r="G894" i="13"/>
  <c r="G633" i="13"/>
  <c r="G372" i="13"/>
  <c r="E199" i="13"/>
  <c r="F199" i="13" s="1"/>
  <c r="D200" i="13" s="1"/>
  <c r="E547" i="13"/>
  <c r="F547" i="13" s="1"/>
  <c r="D548" i="13" s="1"/>
  <c r="E373" i="13"/>
  <c r="F373" i="13" s="1"/>
  <c r="D374" i="13" s="1"/>
  <c r="E634" i="13"/>
  <c r="F634" i="13" s="1"/>
  <c r="D635" i="13" s="1"/>
  <c r="E1066" i="13"/>
  <c r="F1066" i="13" s="1"/>
  <c r="D1067" i="13" s="1"/>
  <c r="E895" i="13"/>
  <c r="F895" i="13" s="1"/>
  <c r="D896" i="13" s="1"/>
  <c r="E982" i="13"/>
  <c r="F982" i="13" s="1"/>
  <c r="D983" i="13" s="1"/>
  <c r="E721" i="13"/>
  <c r="F721" i="13" s="1"/>
  <c r="D722" i="13" s="1"/>
  <c r="E112" i="13"/>
  <c r="F112" i="13" s="1"/>
  <c r="D113" i="13" s="1"/>
  <c r="E460" i="13"/>
  <c r="F460" i="13" s="1"/>
  <c r="D461" i="13" s="1"/>
  <c r="G285" i="13"/>
  <c r="E1150" i="13"/>
  <c r="F1150" i="13" s="1"/>
  <c r="D1151" i="13" s="1"/>
  <c r="E286" i="13"/>
  <c r="F286" i="13" s="1"/>
  <c r="D287" i="13" s="1"/>
  <c r="G198" i="13"/>
  <c r="E808" i="13"/>
  <c r="F808" i="13" s="1"/>
  <c r="D809" i="13" s="1"/>
  <c r="G721" i="13" l="1"/>
  <c r="G547" i="13"/>
  <c r="G895" i="13"/>
  <c r="G286" i="13"/>
  <c r="G112" i="13"/>
  <c r="G460" i="13"/>
  <c r="G1066" i="13"/>
  <c r="E896" i="13"/>
  <c r="F896" i="13" s="1"/>
  <c r="D897" i="13" s="1"/>
  <c r="E374" i="13"/>
  <c r="F374" i="13" s="1"/>
  <c r="D375" i="13" s="1"/>
  <c r="G808" i="13"/>
  <c r="G1150" i="13"/>
  <c r="E113" i="13"/>
  <c r="F113" i="13" s="1"/>
  <c r="D114" i="13" s="1"/>
  <c r="G373" i="13"/>
  <c r="E722" i="13"/>
  <c r="F722" i="13" s="1"/>
  <c r="D723" i="13" s="1"/>
  <c r="E1067" i="13"/>
  <c r="F1067" i="13" s="1"/>
  <c r="D1068" i="13" s="1"/>
  <c r="E1151" i="13"/>
  <c r="F1151" i="13" s="1"/>
  <c r="D1152" i="13" s="1"/>
  <c r="E983" i="13"/>
  <c r="F983" i="13" s="1"/>
  <c r="D984" i="13" s="1"/>
  <c r="E635" i="13"/>
  <c r="F635" i="13" s="1"/>
  <c r="D636" i="13" s="1"/>
  <c r="E200" i="13"/>
  <c r="F200" i="13" s="1"/>
  <c r="D201" i="13" s="1"/>
  <c r="E809" i="13"/>
  <c r="F809" i="13" s="1"/>
  <c r="D810" i="13" s="1"/>
  <c r="E287" i="13"/>
  <c r="F287" i="13" s="1"/>
  <c r="D288" i="13" s="1"/>
  <c r="E548" i="13"/>
  <c r="F548" i="13" s="1"/>
  <c r="D549" i="13" s="1"/>
  <c r="E461" i="13"/>
  <c r="F461" i="13" s="1"/>
  <c r="D462" i="13" s="1"/>
  <c r="G982" i="13"/>
  <c r="G634" i="13"/>
  <c r="G199" i="13"/>
  <c r="G461" i="13" l="1"/>
  <c r="G983" i="13"/>
  <c r="G635" i="13"/>
  <c r="G287" i="13"/>
  <c r="G1067" i="13"/>
  <c r="G809" i="13"/>
  <c r="G548" i="13"/>
  <c r="G1151" i="13"/>
  <c r="G722" i="13"/>
  <c r="G896" i="13"/>
  <c r="G200" i="13"/>
  <c r="E1152" i="13"/>
  <c r="F1152" i="13" s="1"/>
  <c r="D1153" i="13" s="1"/>
  <c r="E462" i="13"/>
  <c r="F462" i="13" s="1"/>
  <c r="D463" i="13" s="1"/>
  <c r="E549" i="13"/>
  <c r="F549" i="13" s="1"/>
  <c r="D550" i="13" s="1"/>
  <c r="G374" i="13"/>
  <c r="E897" i="13"/>
  <c r="F897" i="13" s="1"/>
  <c r="D898" i="13" s="1"/>
  <c r="G113" i="13"/>
  <c r="E723" i="13"/>
  <c r="F723" i="13" s="1"/>
  <c r="D724" i="13" s="1"/>
  <c r="E201" i="13"/>
  <c r="F201" i="13" s="1"/>
  <c r="D202" i="13" s="1"/>
  <c r="E636" i="13"/>
  <c r="F636" i="13" s="1"/>
  <c r="D637" i="13" s="1"/>
  <c r="E984" i="13"/>
  <c r="F984" i="13" s="1"/>
  <c r="D985" i="13" s="1"/>
  <c r="E375" i="13"/>
  <c r="F375" i="13" s="1"/>
  <c r="D376" i="13" s="1"/>
  <c r="E114" i="13"/>
  <c r="F114" i="13" s="1"/>
  <c r="D115" i="13" s="1"/>
  <c r="E1068" i="13"/>
  <c r="F1068" i="13" s="1"/>
  <c r="D1069" i="13" s="1"/>
  <c r="E288" i="13"/>
  <c r="F288" i="13" s="1"/>
  <c r="D289" i="13" s="1"/>
  <c r="E810" i="13"/>
  <c r="F810" i="13" s="1"/>
  <c r="D811" i="13" s="1"/>
  <c r="G114" i="13" l="1"/>
  <c r="G723" i="13"/>
  <c r="G549" i="13"/>
  <c r="G462" i="13"/>
  <c r="G1068" i="13"/>
  <c r="G288" i="13"/>
  <c r="G201" i="13"/>
  <c r="G810" i="13"/>
  <c r="G897" i="13"/>
  <c r="G636" i="13"/>
  <c r="E811" i="13"/>
  <c r="F811" i="13" s="1"/>
  <c r="D812" i="13" s="1"/>
  <c r="E463" i="13"/>
  <c r="F463" i="13" s="1"/>
  <c r="D464" i="13" s="1"/>
  <c r="E376" i="13"/>
  <c r="F376" i="13" s="1"/>
  <c r="D377" i="13" s="1"/>
  <c r="E202" i="13"/>
  <c r="F202" i="13" s="1"/>
  <c r="D203" i="13" s="1"/>
  <c r="E1069" i="13"/>
  <c r="F1069" i="13" s="1"/>
  <c r="D1070" i="13" s="1"/>
  <c r="E115" i="13"/>
  <c r="F115" i="13" s="1"/>
  <c r="D116" i="13" s="1"/>
  <c r="E289" i="13"/>
  <c r="F289" i="13" s="1"/>
  <c r="D290" i="13" s="1"/>
  <c r="G375" i="13"/>
  <c r="G1152" i="13"/>
  <c r="E985" i="13"/>
  <c r="F985" i="13" s="1"/>
  <c r="D986" i="13" s="1"/>
  <c r="E637" i="13"/>
  <c r="F637" i="13" s="1"/>
  <c r="D638" i="13" s="1"/>
  <c r="E550" i="13"/>
  <c r="F550" i="13" s="1"/>
  <c r="D551" i="13" s="1"/>
  <c r="E724" i="13"/>
  <c r="F724" i="13" s="1"/>
  <c r="D725" i="13" s="1"/>
  <c r="E1153" i="13"/>
  <c r="F1153" i="13" s="1"/>
  <c r="D1154" i="13" s="1"/>
  <c r="G984" i="13"/>
  <c r="E898" i="13"/>
  <c r="F898" i="13" s="1"/>
  <c r="D899" i="13" s="1"/>
  <c r="G1153" i="13" l="1"/>
  <c r="G376" i="13"/>
  <c r="G985" i="13"/>
  <c r="G637" i="13"/>
  <c r="G811" i="13"/>
  <c r="G115" i="13"/>
  <c r="G550" i="13"/>
  <c r="E203" i="13"/>
  <c r="F203" i="13" s="1"/>
  <c r="D204" i="13" s="1"/>
  <c r="E377" i="13"/>
  <c r="F377" i="13" s="1"/>
  <c r="D378" i="13" s="1"/>
  <c r="G463" i="13"/>
  <c r="E899" i="13"/>
  <c r="F899" i="13" s="1"/>
  <c r="D900" i="13" s="1"/>
  <c r="G898" i="13"/>
  <c r="E986" i="13"/>
  <c r="F986" i="13" s="1"/>
  <c r="D987" i="13" s="1"/>
  <c r="E812" i="13"/>
  <c r="F812" i="13" s="1"/>
  <c r="D813" i="13" s="1"/>
  <c r="E116" i="13"/>
  <c r="F116" i="13" s="1"/>
  <c r="D117" i="13" s="1"/>
  <c r="E638" i="13"/>
  <c r="F638" i="13" s="1"/>
  <c r="D639" i="13" s="1"/>
  <c r="E290" i="13"/>
  <c r="F290" i="13" s="1"/>
  <c r="D291" i="13" s="1"/>
  <c r="E464" i="13"/>
  <c r="F464" i="13" s="1"/>
  <c r="D465" i="13" s="1"/>
  <c r="E1154" i="13"/>
  <c r="F1154" i="13" s="1"/>
  <c r="D1155" i="13" s="1"/>
  <c r="E725" i="13"/>
  <c r="F725" i="13" s="1"/>
  <c r="D726" i="13" s="1"/>
  <c r="E1070" i="13"/>
  <c r="F1070" i="13" s="1"/>
  <c r="D1071" i="13" s="1"/>
  <c r="G724" i="13"/>
  <c r="G1069" i="13"/>
  <c r="E551" i="13"/>
  <c r="F551" i="13" s="1"/>
  <c r="D552" i="13" s="1"/>
  <c r="G289" i="13"/>
  <c r="G202" i="13"/>
  <c r="G290" i="13" l="1"/>
  <c r="G812" i="13"/>
  <c r="G203" i="13"/>
  <c r="G551" i="13"/>
  <c r="G986" i="13"/>
  <c r="G1070" i="13"/>
  <c r="G464" i="13"/>
  <c r="G899" i="13"/>
  <c r="G725" i="13"/>
  <c r="E378" i="13"/>
  <c r="F378" i="13" s="1"/>
  <c r="D379" i="13" s="1"/>
  <c r="E900" i="13"/>
  <c r="F900" i="13" s="1"/>
  <c r="D901" i="13" s="1"/>
  <c r="E291" i="13"/>
  <c r="F291" i="13" s="1"/>
  <c r="D292" i="13" s="1"/>
  <c r="G377" i="13"/>
  <c r="E1071" i="13"/>
  <c r="F1071" i="13" s="1"/>
  <c r="D1072" i="13" s="1"/>
  <c r="E813" i="13"/>
  <c r="F813" i="13" s="1"/>
  <c r="D814" i="13" s="1"/>
  <c r="E204" i="13"/>
  <c r="F204" i="13" s="1"/>
  <c r="D205" i="13" s="1"/>
  <c r="E552" i="13"/>
  <c r="F552" i="13" s="1"/>
  <c r="D553" i="13" s="1"/>
  <c r="E639" i="13"/>
  <c r="F639" i="13" s="1"/>
  <c r="D640" i="13" s="1"/>
  <c r="E726" i="13"/>
  <c r="F726" i="13" s="1"/>
  <c r="D727" i="13" s="1"/>
  <c r="G638" i="13"/>
  <c r="E987" i="13"/>
  <c r="F987" i="13" s="1"/>
  <c r="D988" i="13" s="1"/>
  <c r="E465" i="13"/>
  <c r="F465" i="13" s="1"/>
  <c r="D466" i="13" s="1"/>
  <c r="E117" i="13"/>
  <c r="F117" i="13" s="1"/>
  <c r="D118" i="13" s="1"/>
  <c r="G116" i="13"/>
  <c r="E1155" i="13"/>
  <c r="F1155" i="13" s="1"/>
  <c r="D1156" i="13" s="1"/>
  <c r="G1154" i="13"/>
  <c r="G378" i="13" l="1"/>
  <c r="G900" i="13"/>
  <c r="G639" i="13"/>
  <c r="G117" i="13"/>
  <c r="G204" i="13"/>
  <c r="G726" i="13"/>
  <c r="G291" i="13"/>
  <c r="G987" i="13"/>
  <c r="G813" i="13"/>
  <c r="G1155" i="13"/>
  <c r="G1071" i="13"/>
  <c r="E553" i="13"/>
  <c r="F553" i="13" s="1"/>
  <c r="D554" i="13" s="1"/>
  <c r="E988" i="13"/>
  <c r="F988" i="13" s="1"/>
  <c r="D989" i="13" s="1"/>
  <c r="E1072" i="13"/>
  <c r="F1072" i="13" s="1"/>
  <c r="D1073" i="13" s="1"/>
  <c r="E1156" i="13"/>
  <c r="F1156" i="13" s="1"/>
  <c r="D1157" i="13" s="1"/>
  <c r="E640" i="13"/>
  <c r="F640" i="13" s="1"/>
  <c r="D641" i="13" s="1"/>
  <c r="E727" i="13"/>
  <c r="F727" i="13" s="1"/>
  <c r="D728" i="13" s="1"/>
  <c r="E292" i="13"/>
  <c r="F292" i="13" s="1"/>
  <c r="D293" i="13" s="1"/>
  <c r="E379" i="13"/>
  <c r="F379" i="13" s="1"/>
  <c r="D380" i="13" s="1"/>
  <c r="E118" i="13"/>
  <c r="F118" i="13" s="1"/>
  <c r="D119" i="13" s="1"/>
  <c r="E814" i="13"/>
  <c r="F814" i="13" s="1"/>
  <c r="D815" i="13" s="1"/>
  <c r="G465" i="13"/>
  <c r="E205" i="13"/>
  <c r="F205" i="13" s="1"/>
  <c r="D206" i="13" s="1"/>
  <c r="E466" i="13"/>
  <c r="F466" i="13" s="1"/>
  <c r="D467" i="13" s="1"/>
  <c r="G552" i="13"/>
  <c r="E901" i="13"/>
  <c r="F901" i="13" s="1"/>
  <c r="D902" i="13" s="1"/>
  <c r="G379" i="13" l="1"/>
  <c r="G553" i="13"/>
  <c r="G292" i="13"/>
  <c r="G901" i="13"/>
  <c r="G988" i="13"/>
  <c r="G640" i="13"/>
  <c r="G1072" i="13"/>
  <c r="G118" i="13"/>
  <c r="G1156" i="13"/>
  <c r="E206" i="13"/>
  <c r="F206" i="13" s="1"/>
  <c r="D207" i="13" s="1"/>
  <c r="E728" i="13"/>
  <c r="F728" i="13" s="1"/>
  <c r="D729" i="13" s="1"/>
  <c r="E119" i="13"/>
  <c r="F119" i="13" s="1"/>
  <c r="D120" i="13" s="1"/>
  <c r="G205" i="13"/>
  <c r="E1073" i="13"/>
  <c r="F1073" i="13" s="1"/>
  <c r="D1074" i="13" s="1"/>
  <c r="E902" i="13"/>
  <c r="F902" i="13" s="1"/>
  <c r="D903" i="13" s="1"/>
  <c r="G814" i="13"/>
  <c r="E293" i="13"/>
  <c r="F293" i="13" s="1"/>
  <c r="D294" i="13" s="1"/>
  <c r="E641" i="13"/>
  <c r="F641" i="13" s="1"/>
  <c r="D642" i="13" s="1"/>
  <c r="E989" i="13"/>
  <c r="F989" i="13" s="1"/>
  <c r="D990" i="13" s="1"/>
  <c r="E467" i="13"/>
  <c r="F467" i="13" s="1"/>
  <c r="D468" i="13" s="1"/>
  <c r="E815" i="13"/>
  <c r="F815" i="13" s="1"/>
  <c r="D816" i="13" s="1"/>
  <c r="G466" i="13"/>
  <c r="E554" i="13"/>
  <c r="F554" i="13" s="1"/>
  <c r="D555" i="13" s="1"/>
  <c r="E1157" i="13"/>
  <c r="F1157" i="13" s="1"/>
  <c r="D1158" i="13" s="1"/>
  <c r="E380" i="13"/>
  <c r="F380" i="13" s="1"/>
  <c r="D381" i="13" s="1"/>
  <c r="G727" i="13"/>
  <c r="G1157" i="13" l="1"/>
  <c r="G1073" i="13"/>
  <c r="G206" i="13"/>
  <c r="G119" i="13"/>
  <c r="G641" i="13"/>
  <c r="G467" i="13"/>
  <c r="G902" i="13"/>
  <c r="G989" i="13"/>
  <c r="G554" i="13"/>
  <c r="E642" i="13"/>
  <c r="F642" i="13" s="1"/>
  <c r="D643" i="13" s="1"/>
  <c r="E903" i="13"/>
  <c r="F903" i="13" s="1"/>
  <c r="D904" i="13" s="1"/>
  <c r="G728" i="13"/>
  <c r="E1158" i="13"/>
  <c r="F1158" i="13" s="1"/>
  <c r="D1159" i="13" s="1"/>
  <c r="E120" i="13"/>
  <c r="F120" i="13" s="1"/>
  <c r="D121" i="13" s="1"/>
  <c r="E1074" i="13"/>
  <c r="F1074" i="13" s="1"/>
  <c r="D1075" i="13" s="1"/>
  <c r="E294" i="13"/>
  <c r="F294" i="13" s="1"/>
  <c r="D295" i="13" s="1"/>
  <c r="G293" i="13"/>
  <c r="E816" i="13"/>
  <c r="F816" i="13" s="1"/>
  <c r="D817" i="13" s="1"/>
  <c r="E990" i="13"/>
  <c r="F990" i="13" s="1"/>
  <c r="D991" i="13" s="1"/>
  <c r="G815" i="13"/>
  <c r="E381" i="13"/>
  <c r="F381" i="13" s="1"/>
  <c r="D382" i="13" s="1"/>
  <c r="E555" i="13"/>
  <c r="F555" i="13" s="1"/>
  <c r="D556" i="13" s="1"/>
  <c r="E729" i="13"/>
  <c r="F729" i="13" s="1"/>
  <c r="D730" i="13" s="1"/>
  <c r="G380" i="13"/>
  <c r="E468" i="13"/>
  <c r="F468" i="13" s="1"/>
  <c r="D469" i="13" s="1"/>
  <c r="E207" i="13"/>
  <c r="F207" i="13" s="1"/>
  <c r="D208" i="13" s="1"/>
  <c r="G294" i="13" l="1"/>
  <c r="G1158" i="13"/>
  <c r="G468" i="13"/>
  <c r="G903" i="13"/>
  <c r="G555" i="13"/>
  <c r="G990" i="13"/>
  <c r="G642" i="13"/>
  <c r="G1074" i="13"/>
  <c r="E817" i="13"/>
  <c r="F817" i="13" s="1"/>
  <c r="D818" i="13" s="1"/>
  <c r="G120" i="13"/>
  <c r="E730" i="13"/>
  <c r="F730" i="13" s="1"/>
  <c r="D731" i="13" s="1"/>
  <c r="E556" i="13"/>
  <c r="F556" i="13" s="1"/>
  <c r="D557" i="13" s="1"/>
  <c r="E904" i="13"/>
  <c r="F904" i="13" s="1"/>
  <c r="D905" i="13" s="1"/>
  <c r="E469" i="13"/>
  <c r="F469" i="13" s="1"/>
  <c r="D470" i="13" s="1"/>
  <c r="E295" i="13"/>
  <c r="F295" i="13" s="1"/>
  <c r="D296" i="13" s="1"/>
  <c r="E1075" i="13"/>
  <c r="F1075" i="13" s="1"/>
  <c r="D1076" i="13" s="1"/>
  <c r="G381" i="13"/>
  <c r="E991" i="13"/>
  <c r="F991" i="13" s="1"/>
  <c r="D992" i="13" s="1"/>
  <c r="E643" i="13"/>
  <c r="F643" i="13" s="1"/>
  <c r="D644" i="13" s="1"/>
  <c r="E121" i="13"/>
  <c r="F121" i="13" s="1"/>
  <c r="D122" i="13" s="1"/>
  <c r="E382" i="13"/>
  <c r="F382" i="13" s="1"/>
  <c r="D383" i="13" s="1"/>
  <c r="G207" i="13"/>
  <c r="E1159" i="13"/>
  <c r="F1159" i="13" s="1"/>
  <c r="D1160" i="13" s="1"/>
  <c r="G729" i="13"/>
  <c r="E208" i="13"/>
  <c r="F208" i="13" s="1"/>
  <c r="D209" i="13" s="1"/>
  <c r="G816" i="13"/>
  <c r="G991" i="13" l="1"/>
  <c r="G295" i="13"/>
  <c r="G643" i="13"/>
  <c r="G1159" i="13"/>
  <c r="G469" i="13"/>
  <c r="G556" i="13"/>
  <c r="G730" i="13"/>
  <c r="E1076" i="13"/>
  <c r="F1076" i="13" s="1"/>
  <c r="D1077" i="13" s="1"/>
  <c r="E296" i="13"/>
  <c r="F296" i="13" s="1"/>
  <c r="D297" i="13" s="1"/>
  <c r="E731" i="13"/>
  <c r="F731" i="13" s="1"/>
  <c r="D732" i="13" s="1"/>
  <c r="G1075" i="13"/>
  <c r="E470" i="13"/>
  <c r="F470" i="13" s="1"/>
  <c r="D471" i="13" s="1"/>
  <c r="E644" i="13"/>
  <c r="F644" i="13" s="1"/>
  <c r="D645" i="13" s="1"/>
  <c r="E1160" i="13"/>
  <c r="F1160" i="13" s="1"/>
  <c r="D1161" i="13" s="1"/>
  <c r="G121" i="13"/>
  <c r="G904" i="13"/>
  <c r="E122" i="13"/>
  <c r="F122" i="13" s="1"/>
  <c r="D123" i="13" s="1"/>
  <c r="E905" i="13"/>
  <c r="F905" i="13" s="1"/>
  <c r="D906" i="13" s="1"/>
  <c r="E383" i="13"/>
  <c r="F383" i="13" s="1"/>
  <c r="D384" i="13" s="1"/>
  <c r="E992" i="13"/>
  <c r="F992" i="13" s="1"/>
  <c r="D993" i="13" s="1"/>
  <c r="G208" i="13"/>
  <c r="G382" i="13"/>
  <c r="G817" i="13"/>
  <c r="E209" i="13"/>
  <c r="F209" i="13" s="1"/>
  <c r="D210" i="13" s="1"/>
  <c r="E557" i="13"/>
  <c r="F557" i="13" s="1"/>
  <c r="D558" i="13" s="1"/>
  <c r="E818" i="13"/>
  <c r="F818" i="13" s="1"/>
  <c r="D819" i="13" s="1"/>
  <c r="G731" i="13" l="1"/>
  <c r="G1160" i="13"/>
  <c r="G818" i="13"/>
  <c r="G470" i="13"/>
  <c r="G122" i="13"/>
  <c r="G296" i="13"/>
  <c r="G992" i="13"/>
  <c r="G557" i="13"/>
  <c r="E384" i="13"/>
  <c r="F384" i="13" s="1"/>
  <c r="D385" i="13" s="1"/>
  <c r="G905" i="13"/>
  <c r="E123" i="13"/>
  <c r="F123" i="13" s="1"/>
  <c r="D124" i="13" s="1"/>
  <c r="G644" i="13"/>
  <c r="E471" i="13"/>
  <c r="F471" i="13" s="1"/>
  <c r="D472" i="13" s="1"/>
  <c r="E1161" i="13"/>
  <c r="F1161" i="13" s="1"/>
  <c r="D1162" i="13" s="1"/>
  <c r="E645" i="13"/>
  <c r="F645" i="13" s="1"/>
  <c r="D646" i="13" s="1"/>
  <c r="E297" i="13"/>
  <c r="F297" i="13" s="1"/>
  <c r="D298" i="13" s="1"/>
  <c r="E906" i="13"/>
  <c r="F906" i="13" s="1"/>
  <c r="D907" i="13" s="1"/>
  <c r="E993" i="13"/>
  <c r="F993" i="13" s="1"/>
  <c r="D994" i="13" s="1"/>
  <c r="E1077" i="13"/>
  <c r="F1077" i="13" s="1"/>
  <c r="D1078" i="13" s="1"/>
  <c r="E210" i="13"/>
  <c r="F210" i="13" s="1"/>
  <c r="D211" i="13" s="1"/>
  <c r="E732" i="13"/>
  <c r="F732" i="13" s="1"/>
  <c r="D733" i="13" s="1"/>
  <c r="E819" i="13"/>
  <c r="F819" i="13" s="1"/>
  <c r="D820" i="13" s="1"/>
  <c r="E558" i="13"/>
  <c r="F558" i="13" s="1"/>
  <c r="D559" i="13" s="1"/>
  <c r="G209" i="13"/>
  <c r="G383" i="13"/>
  <c r="G1076" i="13"/>
  <c r="G1077" i="13" l="1"/>
  <c r="G645" i="13"/>
  <c r="G819" i="13"/>
  <c r="G558" i="13"/>
  <c r="G210" i="13"/>
  <c r="G993" i="13"/>
  <c r="G384" i="13"/>
  <c r="G732" i="13"/>
  <c r="G1161" i="13"/>
  <c r="G123" i="13"/>
  <c r="E733" i="13"/>
  <c r="F733" i="13" s="1"/>
  <c r="D734" i="13" s="1"/>
  <c r="G906" i="13"/>
  <c r="E1162" i="13"/>
  <c r="F1162" i="13" s="1"/>
  <c r="D1163" i="13" s="1"/>
  <c r="E124" i="13"/>
  <c r="F124" i="13" s="1"/>
  <c r="D125" i="13" s="1"/>
  <c r="G297" i="13"/>
  <c r="E1078" i="13"/>
  <c r="F1078" i="13" s="1"/>
  <c r="D1079" i="13" s="1"/>
  <c r="E907" i="13"/>
  <c r="F907" i="13" s="1"/>
  <c r="D908" i="13" s="1"/>
  <c r="E211" i="13"/>
  <c r="F211" i="13" s="1"/>
  <c r="D212" i="13" s="1"/>
  <c r="E559" i="13"/>
  <c r="F559" i="13" s="1"/>
  <c r="D560" i="13" s="1"/>
  <c r="E994" i="13"/>
  <c r="F994" i="13" s="1"/>
  <c r="D995" i="13" s="1"/>
  <c r="G471" i="13"/>
  <c r="E298" i="13"/>
  <c r="F298" i="13" s="1"/>
  <c r="D299" i="13" s="1"/>
  <c r="E646" i="13"/>
  <c r="F646" i="13" s="1"/>
  <c r="D647" i="13" s="1"/>
  <c r="E472" i="13"/>
  <c r="F472" i="13" s="1"/>
  <c r="D473" i="13" s="1"/>
  <c r="E820" i="13"/>
  <c r="F820" i="13" s="1"/>
  <c r="D821" i="13" s="1"/>
  <c r="E385" i="13"/>
  <c r="F385" i="13" s="1"/>
  <c r="D386" i="13" s="1"/>
  <c r="G994" i="13" l="1"/>
  <c r="G385" i="13"/>
  <c r="G820" i="13"/>
  <c r="G124" i="13"/>
  <c r="G298" i="13"/>
  <c r="G559" i="13"/>
  <c r="G646" i="13"/>
  <c r="G907" i="13"/>
  <c r="E908" i="13"/>
  <c r="F908" i="13" s="1"/>
  <c r="D909" i="13" s="1"/>
  <c r="E560" i="13"/>
  <c r="F560" i="13" s="1"/>
  <c r="D561" i="13" s="1"/>
  <c r="E647" i="13"/>
  <c r="F647" i="13" s="1"/>
  <c r="D648" i="13" s="1"/>
  <c r="E212" i="13"/>
  <c r="F212" i="13" s="1"/>
  <c r="D213" i="13" s="1"/>
  <c r="G1078" i="13"/>
  <c r="G1162" i="13"/>
  <c r="G211" i="13"/>
  <c r="E1163" i="13"/>
  <c r="F1163" i="13" s="1"/>
  <c r="D1164" i="13" s="1"/>
  <c r="E386" i="13"/>
  <c r="F386" i="13" s="1"/>
  <c r="D387" i="13" s="1"/>
  <c r="E821" i="13"/>
  <c r="F821" i="13" s="1"/>
  <c r="D822" i="13" s="1"/>
  <c r="E299" i="13"/>
  <c r="F299" i="13" s="1"/>
  <c r="D300" i="13" s="1"/>
  <c r="E1079" i="13"/>
  <c r="F1079" i="13" s="1"/>
  <c r="D1080" i="13" s="1"/>
  <c r="E473" i="13"/>
  <c r="F473" i="13" s="1"/>
  <c r="D474" i="13" s="1"/>
  <c r="E734" i="13"/>
  <c r="F734" i="13" s="1"/>
  <c r="D735" i="13" s="1"/>
  <c r="E995" i="13"/>
  <c r="F995" i="13" s="1"/>
  <c r="D996" i="13" s="1"/>
  <c r="E125" i="13"/>
  <c r="F125" i="13" s="1"/>
  <c r="D126" i="13" s="1"/>
  <c r="G472" i="13"/>
  <c r="G733" i="13"/>
  <c r="G299" i="13" l="1"/>
  <c r="G821" i="13"/>
  <c r="G908" i="13"/>
  <c r="G1079" i="13"/>
  <c r="G473" i="13"/>
  <c r="G212" i="13"/>
  <c r="E213" i="13"/>
  <c r="F213" i="13" s="1"/>
  <c r="D214" i="13" s="1"/>
  <c r="E822" i="13"/>
  <c r="F822" i="13" s="1"/>
  <c r="D823" i="13" s="1"/>
  <c r="G647" i="13"/>
  <c r="E474" i="13"/>
  <c r="F474" i="13" s="1"/>
  <c r="D475" i="13" s="1"/>
  <c r="G125" i="13"/>
  <c r="G386" i="13"/>
  <c r="E561" i="13"/>
  <c r="F561" i="13" s="1"/>
  <c r="D562" i="13" s="1"/>
  <c r="G995" i="13"/>
  <c r="G1163" i="13"/>
  <c r="G560" i="13"/>
  <c r="E996" i="13"/>
  <c r="F996" i="13" s="1"/>
  <c r="D997" i="13" s="1"/>
  <c r="E1164" i="13"/>
  <c r="F1164" i="13" s="1"/>
  <c r="D1165" i="13" s="1"/>
  <c r="E648" i="13"/>
  <c r="F648" i="13" s="1"/>
  <c r="D649" i="13" s="1"/>
  <c r="E126" i="13"/>
  <c r="F126" i="13" s="1"/>
  <c r="D127" i="13" s="1"/>
  <c r="E387" i="13"/>
  <c r="F387" i="13" s="1"/>
  <c r="D388" i="13" s="1"/>
  <c r="E300" i="13"/>
  <c r="F300" i="13" s="1"/>
  <c r="D301" i="13" s="1"/>
  <c r="G734" i="13"/>
  <c r="E909" i="13"/>
  <c r="F909" i="13" s="1"/>
  <c r="D910" i="13" s="1"/>
  <c r="E735" i="13"/>
  <c r="F735" i="13" s="1"/>
  <c r="D736" i="13" s="1"/>
  <c r="E1080" i="13"/>
  <c r="F1080" i="13" s="1"/>
  <c r="D1081" i="13" s="1"/>
  <c r="G561" i="13" l="1"/>
  <c r="G126" i="13"/>
  <c r="G387" i="13"/>
  <c r="G735" i="13"/>
  <c r="G300" i="13"/>
  <c r="G648" i="13"/>
  <c r="G474" i="13"/>
  <c r="E388" i="13"/>
  <c r="F388" i="13" s="1"/>
  <c r="D389" i="13" s="1"/>
  <c r="G996" i="13"/>
  <c r="G909" i="13"/>
  <c r="G822" i="13"/>
  <c r="E127" i="13"/>
  <c r="F127" i="13" s="1"/>
  <c r="D128" i="13" s="1"/>
  <c r="E823" i="13"/>
  <c r="F823" i="13" s="1"/>
  <c r="D824" i="13" s="1"/>
  <c r="G1164" i="13"/>
  <c r="E1165" i="13"/>
  <c r="F1165" i="13" s="1"/>
  <c r="D1166" i="13" s="1"/>
  <c r="E214" i="13"/>
  <c r="F214" i="13" s="1"/>
  <c r="D215" i="13" s="1"/>
  <c r="E649" i="13"/>
  <c r="F649" i="13" s="1"/>
  <c r="D650" i="13" s="1"/>
  <c r="E562" i="13"/>
  <c r="F562" i="13" s="1"/>
  <c r="D563" i="13" s="1"/>
  <c r="G213" i="13"/>
  <c r="E736" i="13"/>
  <c r="F736" i="13" s="1"/>
  <c r="D737" i="13" s="1"/>
  <c r="E1081" i="13"/>
  <c r="F1081" i="13" s="1"/>
  <c r="D1082" i="13" s="1"/>
  <c r="E475" i="13"/>
  <c r="F475" i="13" s="1"/>
  <c r="D476" i="13" s="1"/>
  <c r="E997" i="13"/>
  <c r="F997" i="13" s="1"/>
  <c r="D998" i="13" s="1"/>
  <c r="E910" i="13"/>
  <c r="F910" i="13" s="1"/>
  <c r="D911" i="13" s="1"/>
  <c r="E301" i="13"/>
  <c r="F301" i="13" s="1"/>
  <c r="D302" i="13" s="1"/>
  <c r="G1080" i="13"/>
  <c r="G1165" i="13" l="1"/>
  <c r="G127" i="13"/>
  <c r="G1081" i="13"/>
  <c r="G562" i="13"/>
  <c r="G823" i="13"/>
  <c r="G388" i="13"/>
  <c r="G649" i="13"/>
  <c r="E911" i="13"/>
  <c r="F911" i="13" s="1"/>
  <c r="D912" i="13" s="1"/>
  <c r="E563" i="13"/>
  <c r="F563" i="13" s="1"/>
  <c r="D564" i="13" s="1"/>
  <c r="G214" i="13"/>
  <c r="E1166" i="13"/>
  <c r="F1166" i="13" s="1"/>
  <c r="D1167" i="13" s="1"/>
  <c r="G997" i="13"/>
  <c r="E1082" i="13"/>
  <c r="F1082" i="13" s="1"/>
  <c r="D1083" i="13" s="1"/>
  <c r="E389" i="13"/>
  <c r="F389" i="13" s="1"/>
  <c r="D390" i="13" s="1"/>
  <c r="G475" i="13"/>
  <c r="E302" i="13"/>
  <c r="F302" i="13" s="1"/>
  <c r="D303" i="13" s="1"/>
  <c r="G736" i="13"/>
  <c r="E998" i="13"/>
  <c r="F998" i="13" s="1"/>
  <c r="D999" i="13" s="1"/>
  <c r="E476" i="13"/>
  <c r="F476" i="13" s="1"/>
  <c r="D477" i="13" s="1"/>
  <c r="E215" i="13"/>
  <c r="F215" i="13" s="1"/>
  <c r="D216" i="13" s="1"/>
  <c r="G301" i="13"/>
  <c r="E128" i="13"/>
  <c r="F128" i="13" s="1"/>
  <c r="D129" i="13" s="1"/>
  <c r="E650" i="13"/>
  <c r="F650" i="13" s="1"/>
  <c r="D651" i="13" s="1"/>
  <c r="E737" i="13"/>
  <c r="F737" i="13" s="1"/>
  <c r="D738" i="13" s="1"/>
  <c r="G910" i="13"/>
  <c r="E824" i="13"/>
  <c r="F824" i="13" s="1"/>
  <c r="D825" i="13" s="1"/>
  <c r="G650" i="13" l="1"/>
  <c r="G476" i="13"/>
  <c r="G1082" i="13"/>
  <c r="G215" i="13"/>
  <c r="G998" i="13"/>
  <c r="G911" i="13"/>
  <c r="G563" i="13"/>
  <c r="E216" i="13"/>
  <c r="F216" i="13" s="1"/>
  <c r="D217" i="13" s="1"/>
  <c r="E477" i="13"/>
  <c r="F477" i="13" s="1"/>
  <c r="D478" i="13" s="1"/>
  <c r="E999" i="13"/>
  <c r="F999" i="13" s="1"/>
  <c r="D1000" i="13" s="1"/>
  <c r="G389" i="13"/>
  <c r="E1167" i="13"/>
  <c r="F1167" i="13" s="1"/>
  <c r="D1168" i="13" s="1"/>
  <c r="E1083" i="13"/>
  <c r="F1083" i="13" s="1"/>
  <c r="D1084" i="13" s="1"/>
  <c r="G1166" i="13"/>
  <c r="E651" i="13"/>
  <c r="F651" i="13" s="1"/>
  <c r="D652" i="13" s="1"/>
  <c r="G824" i="13"/>
  <c r="G128" i="13"/>
  <c r="E564" i="13"/>
  <c r="F564" i="13" s="1"/>
  <c r="D565" i="13" s="1"/>
  <c r="E738" i="13"/>
  <c r="F738" i="13" s="1"/>
  <c r="D739" i="13" s="1"/>
  <c r="G737" i="13"/>
  <c r="E390" i="13"/>
  <c r="F390" i="13" s="1"/>
  <c r="D391" i="13" s="1"/>
  <c r="E825" i="13"/>
  <c r="F825" i="13" s="1"/>
  <c r="D826" i="13" s="1"/>
  <c r="E303" i="13"/>
  <c r="F303" i="13" s="1"/>
  <c r="D304" i="13" s="1"/>
  <c r="E129" i="13"/>
  <c r="F129" i="13" s="1"/>
  <c r="D130" i="13" s="1"/>
  <c r="G302" i="13"/>
  <c r="E912" i="13"/>
  <c r="F912" i="13" s="1"/>
  <c r="D913" i="13" s="1"/>
  <c r="G825" i="13" l="1"/>
  <c r="G1167" i="13"/>
  <c r="G564" i="13"/>
  <c r="G912" i="13"/>
  <c r="G216" i="13"/>
  <c r="G738" i="13"/>
  <c r="G651" i="13"/>
  <c r="G129" i="13"/>
  <c r="G303" i="13"/>
  <c r="E304" i="13"/>
  <c r="F304" i="13" s="1"/>
  <c r="D305" i="13" s="1"/>
  <c r="G477" i="13"/>
  <c r="E652" i="13"/>
  <c r="F652" i="13" s="1"/>
  <c r="D653" i="13" s="1"/>
  <c r="E1000" i="13"/>
  <c r="F1000" i="13" s="1"/>
  <c r="D1001" i="13" s="1"/>
  <c r="E1084" i="13"/>
  <c r="F1084" i="13" s="1"/>
  <c r="D1085" i="13" s="1"/>
  <c r="E826" i="13"/>
  <c r="F826" i="13" s="1"/>
  <c r="D827" i="13" s="1"/>
  <c r="E391" i="13"/>
  <c r="F391" i="13" s="1"/>
  <c r="D392" i="13" s="1"/>
  <c r="G390" i="13"/>
  <c r="E565" i="13"/>
  <c r="F565" i="13" s="1"/>
  <c r="D566" i="13" s="1"/>
  <c r="E217" i="13"/>
  <c r="F217" i="13" s="1"/>
  <c r="D218" i="13" s="1"/>
  <c r="G999" i="13"/>
  <c r="G1083" i="13"/>
  <c r="E478" i="13"/>
  <c r="F478" i="13" s="1"/>
  <c r="D479" i="13" s="1"/>
  <c r="E913" i="13"/>
  <c r="F913" i="13" s="1"/>
  <c r="D914" i="13" s="1"/>
  <c r="E739" i="13"/>
  <c r="F739" i="13" s="1"/>
  <c r="D740" i="13" s="1"/>
  <c r="E130" i="13"/>
  <c r="F130" i="13" s="1"/>
  <c r="D131" i="13" s="1"/>
  <c r="E1168" i="13"/>
  <c r="F1168" i="13" s="1"/>
  <c r="D1169" i="13" s="1"/>
  <c r="G913" i="13" l="1"/>
  <c r="G1168" i="13"/>
  <c r="G478" i="13"/>
  <c r="E653" i="13"/>
  <c r="F653" i="13" s="1"/>
  <c r="D654" i="13" s="1"/>
  <c r="E1001" i="13"/>
  <c r="F1001" i="13" s="1"/>
  <c r="D1002" i="13" s="1"/>
  <c r="E914" i="13"/>
  <c r="F914" i="13" s="1"/>
  <c r="D915" i="13" s="1"/>
  <c r="G652" i="13"/>
  <c r="G130" i="13"/>
  <c r="G826" i="13"/>
  <c r="E131" i="13"/>
  <c r="F131" i="13" s="1"/>
  <c r="D132" i="13" s="1"/>
  <c r="E392" i="13"/>
  <c r="F392" i="13" s="1"/>
  <c r="D393" i="13" s="1"/>
  <c r="E479" i="13"/>
  <c r="F479" i="13" s="1"/>
  <c r="D480" i="13" s="1"/>
  <c r="G304" i="13"/>
  <c r="E740" i="13"/>
  <c r="F740" i="13" s="1"/>
  <c r="D741" i="13" s="1"/>
  <c r="E1169" i="13"/>
  <c r="F1169" i="13" s="1"/>
  <c r="D1170" i="13" s="1"/>
  <c r="G391" i="13"/>
  <c r="E305" i="13"/>
  <c r="F305" i="13" s="1"/>
  <c r="D306" i="13" s="1"/>
  <c r="G217" i="13"/>
  <c r="G565" i="13"/>
  <c r="G1000" i="13"/>
  <c r="E827" i="13"/>
  <c r="F827" i="13" s="1"/>
  <c r="D828" i="13" s="1"/>
  <c r="E218" i="13"/>
  <c r="F218" i="13" s="1"/>
  <c r="D219" i="13" s="1"/>
  <c r="E1085" i="13"/>
  <c r="F1085" i="13" s="1"/>
  <c r="D1086" i="13" s="1"/>
  <c r="E566" i="13"/>
  <c r="F566" i="13" s="1"/>
  <c r="D567" i="13" s="1"/>
  <c r="G739" i="13"/>
  <c r="G1084" i="13"/>
  <c r="G392" i="13" l="1"/>
  <c r="G740" i="13"/>
  <c r="G131" i="13"/>
  <c r="G305" i="13"/>
  <c r="G218" i="13"/>
  <c r="G1169" i="13"/>
  <c r="G914" i="13"/>
  <c r="G1001" i="13"/>
  <c r="G479" i="13"/>
  <c r="G566" i="13"/>
  <c r="E306" i="13"/>
  <c r="F306" i="13" s="1"/>
  <c r="D307" i="13" s="1"/>
  <c r="G1085" i="13"/>
  <c r="E393" i="13"/>
  <c r="F393" i="13" s="1"/>
  <c r="D394" i="13" s="1"/>
  <c r="E567" i="13"/>
  <c r="F567" i="13" s="1"/>
  <c r="D568" i="13" s="1"/>
  <c r="E828" i="13"/>
  <c r="F828" i="13" s="1"/>
  <c r="D829" i="13" s="1"/>
  <c r="G827" i="13"/>
  <c r="E741" i="13"/>
  <c r="F741" i="13" s="1"/>
  <c r="D742" i="13" s="1"/>
  <c r="E1086" i="13"/>
  <c r="F1086" i="13" s="1"/>
  <c r="D1087" i="13" s="1"/>
  <c r="E1170" i="13"/>
  <c r="F1170" i="13" s="1"/>
  <c r="D1171" i="13" s="1"/>
  <c r="E915" i="13"/>
  <c r="F915" i="13" s="1"/>
  <c r="D916" i="13" s="1"/>
  <c r="E1002" i="13"/>
  <c r="F1002" i="13" s="1"/>
  <c r="D1003" i="13" s="1"/>
  <c r="E219" i="13"/>
  <c r="F219" i="13" s="1"/>
  <c r="D220" i="13" s="1"/>
  <c r="E132" i="13"/>
  <c r="F132" i="13" s="1"/>
  <c r="D133" i="13" s="1"/>
  <c r="G653" i="13"/>
  <c r="E480" i="13"/>
  <c r="F480" i="13" s="1"/>
  <c r="D481" i="13" s="1"/>
  <c r="E654" i="13"/>
  <c r="F654" i="13" s="1"/>
  <c r="D655" i="13" s="1"/>
  <c r="G828" i="13" l="1"/>
  <c r="G393" i="13"/>
  <c r="G219" i="13"/>
  <c r="G1170" i="13"/>
  <c r="G654" i="13"/>
  <c r="G915" i="13"/>
  <c r="G132" i="13"/>
  <c r="G480" i="13"/>
  <c r="E394" i="13"/>
  <c r="F394" i="13" s="1"/>
  <c r="D395" i="13" s="1"/>
  <c r="E829" i="13"/>
  <c r="F829" i="13" s="1"/>
  <c r="D830" i="13" s="1"/>
  <c r="E133" i="13"/>
  <c r="F133" i="13" s="1"/>
  <c r="D134" i="13" s="1"/>
  <c r="E1171" i="13"/>
  <c r="F1171" i="13" s="1"/>
  <c r="D1172" i="13" s="1"/>
  <c r="G567" i="13"/>
  <c r="E742" i="13"/>
  <c r="F742" i="13" s="1"/>
  <c r="D743" i="13" s="1"/>
  <c r="G741" i="13"/>
  <c r="E220" i="13"/>
  <c r="F220" i="13" s="1"/>
  <c r="D221" i="13" s="1"/>
  <c r="G1002" i="13"/>
  <c r="G1086" i="13"/>
  <c r="E568" i="13"/>
  <c r="F568" i="13" s="1"/>
  <c r="D569" i="13" s="1"/>
  <c r="E1087" i="13"/>
  <c r="F1087" i="13" s="1"/>
  <c r="D1088" i="13" s="1"/>
  <c r="G306" i="13"/>
  <c r="E481" i="13"/>
  <c r="F481" i="13" s="1"/>
  <c r="D482" i="13" s="1"/>
  <c r="E307" i="13"/>
  <c r="F307" i="13" s="1"/>
  <c r="D308" i="13" s="1"/>
  <c r="E916" i="13"/>
  <c r="F916" i="13" s="1"/>
  <c r="D917" i="13" s="1"/>
  <c r="E1003" i="13"/>
  <c r="F1003" i="13" s="1"/>
  <c r="D1004" i="13" s="1"/>
  <c r="E655" i="13"/>
  <c r="F655" i="13" s="1"/>
  <c r="D656" i="13" s="1"/>
  <c r="G742" i="13" l="1"/>
  <c r="G568" i="13"/>
  <c r="G394" i="13"/>
  <c r="G655" i="13"/>
  <c r="G220" i="13"/>
  <c r="G1171" i="13"/>
  <c r="G1003" i="13"/>
  <c r="G1087" i="13"/>
  <c r="G829" i="13"/>
  <c r="G481" i="13"/>
  <c r="E308" i="13"/>
  <c r="F308" i="13" s="1"/>
  <c r="D309" i="13" s="1"/>
  <c r="E482" i="13"/>
  <c r="F482" i="13" s="1"/>
  <c r="D483" i="13" s="1"/>
  <c r="E656" i="13"/>
  <c r="F656" i="13" s="1"/>
  <c r="D657" i="13" s="1"/>
  <c r="E1172" i="13"/>
  <c r="F1172" i="13" s="1"/>
  <c r="D1173" i="13" s="1"/>
  <c r="E221" i="13"/>
  <c r="F221" i="13" s="1"/>
  <c r="D222" i="13" s="1"/>
  <c r="E1088" i="13"/>
  <c r="F1088" i="13" s="1"/>
  <c r="D1089" i="13" s="1"/>
  <c r="E569" i="13"/>
  <c r="F569" i="13" s="1"/>
  <c r="D570" i="13" s="1"/>
  <c r="E830" i="13"/>
  <c r="F830" i="13" s="1"/>
  <c r="D831" i="13" s="1"/>
  <c r="E917" i="13"/>
  <c r="F917" i="13" s="1"/>
  <c r="D918" i="13" s="1"/>
  <c r="E134" i="13"/>
  <c r="F134" i="13" s="1"/>
  <c r="D135" i="13" s="1"/>
  <c r="G133" i="13"/>
  <c r="E1004" i="13"/>
  <c r="F1004" i="13" s="1"/>
  <c r="D1005" i="13" s="1"/>
  <c r="G916" i="13"/>
  <c r="G307" i="13"/>
  <c r="E743" i="13"/>
  <c r="F743" i="13" s="1"/>
  <c r="D744" i="13" s="1"/>
  <c r="E395" i="13"/>
  <c r="F395" i="13" s="1"/>
  <c r="D396" i="13" s="1"/>
  <c r="G221" i="13" l="1"/>
  <c r="G395" i="13"/>
  <c r="G134" i="13"/>
  <c r="G1088" i="13"/>
  <c r="G569" i="13"/>
  <c r="G830" i="13"/>
  <c r="E135" i="13"/>
  <c r="F135" i="13" s="1"/>
  <c r="D136" i="13" s="1"/>
  <c r="E1089" i="13"/>
  <c r="F1089" i="13" s="1"/>
  <c r="D1090" i="13" s="1"/>
  <c r="E483" i="13"/>
  <c r="F483" i="13" s="1"/>
  <c r="D484" i="13" s="1"/>
  <c r="E1173" i="13"/>
  <c r="F1173" i="13" s="1"/>
  <c r="D1174" i="13" s="1"/>
  <c r="G482" i="13"/>
  <c r="E396" i="13"/>
  <c r="F396" i="13" s="1"/>
  <c r="D397" i="13" s="1"/>
  <c r="G917" i="13"/>
  <c r="G1172" i="13"/>
  <c r="E657" i="13"/>
  <c r="F657" i="13" s="1"/>
  <c r="D658" i="13" s="1"/>
  <c r="E222" i="13"/>
  <c r="F222" i="13" s="1"/>
  <c r="D223" i="13" s="1"/>
  <c r="E918" i="13"/>
  <c r="F918" i="13" s="1"/>
  <c r="D919" i="13" s="1"/>
  <c r="G743" i="13"/>
  <c r="E831" i="13"/>
  <c r="F831" i="13" s="1"/>
  <c r="D832" i="13" s="1"/>
  <c r="E570" i="13"/>
  <c r="F570" i="13" s="1"/>
  <c r="D571" i="13" s="1"/>
  <c r="G308" i="13"/>
  <c r="E1005" i="13"/>
  <c r="F1005" i="13" s="1"/>
  <c r="D1006" i="13" s="1"/>
  <c r="G656" i="13"/>
  <c r="E744" i="13"/>
  <c r="F744" i="13" s="1"/>
  <c r="D745" i="13" s="1"/>
  <c r="G1004" i="13"/>
  <c r="E309" i="13"/>
  <c r="F309" i="13" s="1"/>
  <c r="D310" i="13" s="1"/>
  <c r="G1005" i="13" l="1"/>
  <c r="G396" i="13"/>
  <c r="G222" i="13"/>
  <c r="G309" i="13"/>
  <c r="G657" i="13"/>
  <c r="G1089" i="13"/>
  <c r="G744" i="13"/>
  <c r="G918" i="13"/>
  <c r="G831" i="13"/>
  <c r="E1174" i="13"/>
  <c r="F1174" i="13" s="1"/>
  <c r="D1175" i="13" s="1"/>
  <c r="E658" i="13"/>
  <c r="F658" i="13" s="1"/>
  <c r="D659" i="13" s="1"/>
  <c r="G135" i="13"/>
  <c r="E484" i="13"/>
  <c r="F484" i="13" s="1"/>
  <c r="D485" i="13" s="1"/>
  <c r="E832" i="13"/>
  <c r="F832" i="13" s="1"/>
  <c r="D833" i="13" s="1"/>
  <c r="E745" i="13"/>
  <c r="F745" i="13" s="1"/>
  <c r="D746" i="13" s="1"/>
  <c r="E919" i="13"/>
  <c r="F919" i="13" s="1"/>
  <c r="D920" i="13" s="1"/>
  <c r="E397" i="13"/>
  <c r="F397" i="13" s="1"/>
  <c r="D398" i="13" s="1"/>
  <c r="E571" i="13"/>
  <c r="F571" i="13" s="1"/>
  <c r="D572" i="13" s="1"/>
  <c r="G483" i="13"/>
  <c r="E136" i="13"/>
  <c r="F136" i="13" s="1"/>
  <c r="D137" i="13" s="1"/>
  <c r="E1090" i="13"/>
  <c r="F1090" i="13" s="1"/>
  <c r="D1091" i="13" s="1"/>
  <c r="E1006" i="13"/>
  <c r="F1006" i="13" s="1"/>
  <c r="D1007" i="13" s="1"/>
  <c r="E310" i="13"/>
  <c r="F310" i="13" s="1"/>
  <c r="D311" i="13" s="1"/>
  <c r="G570" i="13"/>
  <c r="E223" i="13"/>
  <c r="F223" i="13" s="1"/>
  <c r="D224" i="13" s="1"/>
  <c r="G1173" i="13"/>
  <c r="G1090" i="13" l="1"/>
  <c r="G310" i="13"/>
  <c r="G832" i="13"/>
  <c r="G484" i="13"/>
  <c r="G1006" i="13"/>
  <c r="G223" i="13"/>
  <c r="G571" i="13"/>
  <c r="G658" i="13"/>
  <c r="E920" i="13"/>
  <c r="F920" i="13" s="1"/>
  <c r="D921" i="13" s="1"/>
  <c r="E572" i="13"/>
  <c r="F572" i="13" s="1"/>
  <c r="D573" i="13" s="1"/>
  <c r="G745" i="13"/>
  <c r="E1091" i="13"/>
  <c r="F1091" i="13" s="1"/>
  <c r="D1092" i="13" s="1"/>
  <c r="E224" i="13"/>
  <c r="F224" i="13" s="1"/>
  <c r="D225" i="13" s="1"/>
  <c r="E398" i="13"/>
  <c r="F398" i="13" s="1"/>
  <c r="D399" i="13" s="1"/>
  <c r="E137" i="13"/>
  <c r="F137" i="13" s="1"/>
  <c r="D138" i="13" s="1"/>
  <c r="E659" i="13"/>
  <c r="F659" i="13" s="1"/>
  <c r="D660" i="13" s="1"/>
  <c r="E311" i="13"/>
  <c r="F311" i="13" s="1"/>
  <c r="D312" i="13" s="1"/>
  <c r="G397" i="13"/>
  <c r="E833" i="13"/>
  <c r="F833" i="13" s="1"/>
  <c r="D834" i="13" s="1"/>
  <c r="G1174" i="13"/>
  <c r="G136" i="13"/>
  <c r="E746" i="13"/>
  <c r="F746" i="13" s="1"/>
  <c r="D747" i="13" s="1"/>
  <c r="E1007" i="13"/>
  <c r="F1007" i="13" s="1"/>
  <c r="D1008" i="13" s="1"/>
  <c r="G919" i="13"/>
  <c r="E485" i="13"/>
  <c r="F485" i="13" s="1"/>
  <c r="D486" i="13" s="1"/>
  <c r="E1175" i="13"/>
  <c r="F1175" i="13" s="1"/>
  <c r="D1176" i="13" s="1"/>
  <c r="G485" i="13" l="1"/>
  <c r="G311" i="13"/>
  <c r="G224" i="13"/>
  <c r="G398" i="13"/>
  <c r="G746" i="13"/>
  <c r="G920" i="13"/>
  <c r="G659" i="13"/>
  <c r="G1091" i="13"/>
  <c r="G1175" i="13"/>
  <c r="G572" i="13"/>
  <c r="E1008" i="13"/>
  <c r="F1008" i="13" s="1"/>
  <c r="D1009" i="13" s="1"/>
  <c r="E660" i="13"/>
  <c r="F660" i="13" s="1"/>
  <c r="D661" i="13" s="1"/>
  <c r="E225" i="13"/>
  <c r="F225" i="13" s="1"/>
  <c r="D226" i="13" s="1"/>
  <c r="G137" i="13"/>
  <c r="E921" i="13"/>
  <c r="F921" i="13" s="1"/>
  <c r="D922" i="13" s="1"/>
  <c r="E834" i="13"/>
  <c r="F834" i="13" s="1"/>
  <c r="D835" i="13" s="1"/>
  <c r="E399" i="13"/>
  <c r="F399" i="13" s="1"/>
  <c r="D400" i="13" s="1"/>
  <c r="G1007" i="13"/>
  <c r="E747" i="13"/>
  <c r="F747" i="13" s="1"/>
  <c r="D748" i="13" s="1"/>
  <c r="E138" i="13"/>
  <c r="F138" i="13" s="1"/>
  <c r="D139" i="13" s="1"/>
  <c r="G833" i="13"/>
  <c r="E312" i="13"/>
  <c r="F312" i="13" s="1"/>
  <c r="D313" i="13" s="1"/>
  <c r="E573" i="13"/>
  <c r="F573" i="13" s="1"/>
  <c r="D574" i="13" s="1"/>
  <c r="E486" i="13"/>
  <c r="F486" i="13" s="1"/>
  <c r="D487" i="13" s="1"/>
  <c r="E1176" i="13"/>
  <c r="F1176" i="13" s="1"/>
  <c r="D1177" i="13" s="1"/>
  <c r="E1092" i="13"/>
  <c r="F1092" i="13" s="1"/>
  <c r="D1093" i="13" s="1"/>
  <c r="G225" i="13" l="1"/>
  <c r="G921" i="13"/>
  <c r="G1176" i="13"/>
  <c r="G1092" i="13"/>
  <c r="G399" i="13"/>
  <c r="E487" i="13"/>
  <c r="F487" i="13" s="1"/>
  <c r="D488" i="13" s="1"/>
  <c r="E574" i="13"/>
  <c r="F574" i="13" s="1"/>
  <c r="D575" i="13" s="1"/>
  <c r="G660" i="13"/>
  <c r="G573" i="13"/>
  <c r="G747" i="13"/>
  <c r="G834" i="13"/>
  <c r="E1093" i="13"/>
  <c r="F1093" i="13" s="1"/>
  <c r="D1094" i="13" s="1"/>
  <c r="E139" i="13"/>
  <c r="F139" i="13" s="1"/>
  <c r="D140" i="13" s="1"/>
  <c r="E400" i="13"/>
  <c r="F400" i="13" s="1"/>
  <c r="D401" i="13" s="1"/>
  <c r="E835" i="13"/>
  <c r="F835" i="13" s="1"/>
  <c r="D836" i="13" s="1"/>
  <c r="E226" i="13"/>
  <c r="F226" i="13" s="1"/>
  <c r="D227" i="13" s="1"/>
  <c r="E661" i="13"/>
  <c r="F661" i="13" s="1"/>
  <c r="D662" i="13" s="1"/>
  <c r="E1177" i="13"/>
  <c r="F1177" i="13" s="1"/>
  <c r="D1178" i="13" s="1"/>
  <c r="E748" i="13"/>
  <c r="F748" i="13" s="1"/>
  <c r="D749" i="13" s="1"/>
  <c r="G312" i="13"/>
  <c r="E922" i="13"/>
  <c r="F922" i="13" s="1"/>
  <c r="D923" i="13" s="1"/>
  <c r="E1009" i="13"/>
  <c r="F1009" i="13" s="1"/>
  <c r="D1010" i="13" s="1"/>
  <c r="G138" i="13"/>
  <c r="G486" i="13"/>
  <c r="E313" i="13"/>
  <c r="F313" i="13" s="1"/>
  <c r="D314" i="13" s="1"/>
  <c r="G1008" i="13"/>
  <c r="G1177" i="13" l="1"/>
  <c r="G313" i="13"/>
  <c r="G400" i="13"/>
  <c r="G661" i="13"/>
  <c r="G226" i="13"/>
  <c r="G1009" i="13"/>
  <c r="G574" i="13"/>
  <c r="G835" i="13"/>
  <c r="G922" i="13"/>
  <c r="E749" i="13"/>
  <c r="F749" i="13" s="1"/>
  <c r="D750" i="13" s="1"/>
  <c r="E836" i="13"/>
  <c r="F836" i="13" s="1"/>
  <c r="D837" i="13" s="1"/>
  <c r="E140" i="13"/>
  <c r="F140" i="13" s="1"/>
  <c r="D141" i="13" s="1"/>
  <c r="G1093" i="13"/>
  <c r="E1178" i="13"/>
  <c r="F1178" i="13" s="1"/>
  <c r="D1179" i="13" s="1"/>
  <c r="E314" i="13"/>
  <c r="F314" i="13" s="1"/>
  <c r="D315" i="13" s="1"/>
  <c r="E227" i="13"/>
  <c r="F227" i="13" s="1"/>
  <c r="D228" i="13" s="1"/>
  <c r="G139" i="13"/>
  <c r="G748" i="13"/>
  <c r="E662" i="13"/>
  <c r="F662" i="13" s="1"/>
  <c r="D663" i="13" s="1"/>
  <c r="E401" i="13"/>
  <c r="F401" i="13" s="1"/>
  <c r="D402" i="13" s="1"/>
  <c r="E1010" i="13"/>
  <c r="F1010" i="13" s="1"/>
  <c r="D1011" i="13" s="1"/>
  <c r="E575" i="13"/>
  <c r="F575" i="13" s="1"/>
  <c r="D576" i="13" s="1"/>
  <c r="E923" i="13"/>
  <c r="F923" i="13" s="1"/>
  <c r="D924" i="13" s="1"/>
  <c r="G487" i="13"/>
  <c r="E1094" i="13"/>
  <c r="F1094" i="13" s="1"/>
  <c r="D1095" i="13" s="1"/>
  <c r="E488" i="13"/>
  <c r="F488" i="13" s="1"/>
  <c r="D489" i="13" s="1"/>
  <c r="G401" i="13" l="1"/>
  <c r="G749" i="13"/>
  <c r="G314" i="13"/>
  <c r="G227" i="13"/>
  <c r="G1010" i="13"/>
  <c r="G836" i="13"/>
  <c r="G1094" i="13"/>
  <c r="G575" i="13"/>
  <c r="G488" i="13"/>
  <c r="E228" i="13"/>
  <c r="F228" i="13" s="1"/>
  <c r="D229" i="13" s="1"/>
  <c r="E663" i="13"/>
  <c r="F663" i="13" s="1"/>
  <c r="D664" i="13" s="1"/>
  <c r="E489" i="13"/>
  <c r="F489" i="13" s="1"/>
  <c r="D490" i="13" s="1"/>
  <c r="G662" i="13"/>
  <c r="E402" i="13"/>
  <c r="F402" i="13" s="1"/>
  <c r="D403" i="13" s="1"/>
  <c r="G1178" i="13"/>
  <c r="E837" i="13"/>
  <c r="F837" i="13" s="1"/>
  <c r="D838" i="13" s="1"/>
  <c r="E1011" i="13"/>
  <c r="F1011" i="13" s="1"/>
  <c r="D1012" i="13" s="1"/>
  <c r="E315" i="13"/>
  <c r="F315" i="13" s="1"/>
  <c r="D316" i="13" s="1"/>
  <c r="E924" i="13"/>
  <c r="F924" i="13" s="1"/>
  <c r="D925" i="13" s="1"/>
  <c r="E1179" i="13"/>
  <c r="F1179" i="13" s="1"/>
  <c r="D1180" i="13" s="1"/>
  <c r="G923" i="13"/>
  <c r="G140" i="13"/>
  <c r="E1095" i="13"/>
  <c r="F1095" i="13" s="1"/>
  <c r="D1096" i="13" s="1"/>
  <c r="E750" i="13"/>
  <c r="F750" i="13" s="1"/>
  <c r="D751" i="13" s="1"/>
  <c r="E141" i="13"/>
  <c r="F141" i="13" s="1"/>
  <c r="D142" i="13" s="1"/>
  <c r="E576" i="13"/>
  <c r="F576" i="13" s="1"/>
  <c r="D577" i="13" s="1"/>
  <c r="G1179" i="13" l="1"/>
  <c r="G1011" i="13"/>
  <c r="G315" i="13"/>
  <c r="G663" i="13"/>
  <c r="G228" i="13"/>
  <c r="G402" i="13"/>
  <c r="E490" i="13"/>
  <c r="F490" i="13" s="1"/>
  <c r="D491" i="13" s="1"/>
  <c r="E1012" i="13"/>
  <c r="F1012" i="13" s="1"/>
  <c r="D1013" i="13" s="1"/>
  <c r="E838" i="13"/>
  <c r="F838" i="13" s="1"/>
  <c r="D839" i="13" s="1"/>
  <c r="E664" i="13"/>
  <c r="F664" i="13" s="1"/>
  <c r="D665" i="13" s="1"/>
  <c r="G837" i="13"/>
  <c r="G750" i="13"/>
  <c r="E142" i="13"/>
  <c r="F142" i="13" s="1"/>
  <c r="D143" i="13" s="1"/>
  <c r="G489" i="13"/>
  <c r="E1180" i="13"/>
  <c r="F1180" i="13" s="1"/>
  <c r="D1181" i="13" s="1"/>
  <c r="E403" i="13"/>
  <c r="F403" i="13" s="1"/>
  <c r="D404" i="13" s="1"/>
  <c r="E229" i="13"/>
  <c r="F229" i="13" s="1"/>
  <c r="D230" i="13" s="1"/>
  <c r="E751" i="13"/>
  <c r="F751" i="13" s="1"/>
  <c r="D752" i="13" s="1"/>
  <c r="G576" i="13"/>
  <c r="G1095" i="13"/>
  <c r="G924" i="13"/>
  <c r="E577" i="13"/>
  <c r="F577" i="13" s="1"/>
  <c r="D578" i="13" s="1"/>
  <c r="E1096" i="13"/>
  <c r="F1096" i="13" s="1"/>
  <c r="D1097" i="13" s="1"/>
  <c r="E925" i="13"/>
  <c r="F925" i="13" s="1"/>
  <c r="D926" i="13" s="1"/>
  <c r="G141" i="13"/>
  <c r="E316" i="13"/>
  <c r="F316" i="13" s="1"/>
  <c r="D317" i="13" s="1"/>
  <c r="G229" i="13" l="1"/>
  <c r="G838" i="13"/>
  <c r="G577" i="13"/>
  <c r="G316" i="13"/>
  <c r="G751" i="13"/>
  <c r="G142" i="13"/>
  <c r="G664" i="13"/>
  <c r="E752" i="13"/>
  <c r="F752" i="13" s="1"/>
  <c r="D753" i="13" s="1"/>
  <c r="G925" i="13"/>
  <c r="E839" i="13"/>
  <c r="F839" i="13" s="1"/>
  <c r="D840" i="13" s="1"/>
  <c r="E665" i="13"/>
  <c r="F665" i="13" s="1"/>
  <c r="D666" i="13" s="1"/>
  <c r="E926" i="13"/>
  <c r="F926" i="13" s="1"/>
  <c r="D927" i="13" s="1"/>
  <c r="E230" i="13"/>
  <c r="F230" i="13" s="1"/>
  <c r="D231" i="13" s="1"/>
  <c r="E1097" i="13"/>
  <c r="F1097" i="13" s="1"/>
  <c r="D1098" i="13" s="1"/>
  <c r="G1096" i="13"/>
  <c r="G403" i="13"/>
  <c r="G1012" i="13"/>
  <c r="E404" i="13"/>
  <c r="F404" i="13" s="1"/>
  <c r="D405" i="13" s="1"/>
  <c r="E1013" i="13"/>
  <c r="F1013" i="13" s="1"/>
  <c r="D1014" i="13" s="1"/>
  <c r="E578" i="13"/>
  <c r="F578" i="13" s="1"/>
  <c r="D579" i="13" s="1"/>
  <c r="E1181" i="13"/>
  <c r="F1181" i="13" s="1"/>
  <c r="D1182" i="13" s="1"/>
  <c r="E143" i="13"/>
  <c r="F143" i="13" s="1"/>
  <c r="D144" i="13" s="1"/>
  <c r="E491" i="13"/>
  <c r="F491" i="13" s="1"/>
  <c r="D492" i="13" s="1"/>
  <c r="E317" i="13"/>
  <c r="F317" i="13" s="1"/>
  <c r="D318" i="13" s="1"/>
  <c r="G1180" i="13"/>
  <c r="G490" i="13"/>
  <c r="G926" i="13" l="1"/>
  <c r="G1013" i="13"/>
  <c r="G143" i="13"/>
  <c r="G839" i="13"/>
  <c r="G1181" i="13"/>
  <c r="G665" i="13"/>
  <c r="E666" i="13"/>
  <c r="F666" i="13" s="1"/>
  <c r="D667" i="13" s="1"/>
  <c r="E492" i="13"/>
  <c r="F492" i="13" s="1"/>
  <c r="D493" i="13" s="1"/>
  <c r="E231" i="13"/>
  <c r="F231" i="13" s="1"/>
  <c r="D232" i="13" s="1"/>
  <c r="E405" i="13"/>
  <c r="F405" i="13" s="1"/>
  <c r="D406" i="13" s="1"/>
  <c r="G404" i="13"/>
  <c r="E1182" i="13"/>
  <c r="F1182" i="13" s="1"/>
  <c r="D1183" i="13" s="1"/>
  <c r="G1097" i="13"/>
  <c r="E144" i="13"/>
  <c r="F144" i="13" s="1"/>
  <c r="D145" i="13" s="1"/>
  <c r="E840" i="13"/>
  <c r="F840" i="13" s="1"/>
  <c r="D841" i="13" s="1"/>
  <c r="G317" i="13"/>
  <c r="G578" i="13"/>
  <c r="E1098" i="13"/>
  <c r="F1098" i="13" s="1"/>
  <c r="D1099" i="13" s="1"/>
  <c r="E927" i="13"/>
  <c r="F927" i="13" s="1"/>
  <c r="D928" i="13" s="1"/>
  <c r="E318" i="13"/>
  <c r="F318" i="13" s="1"/>
  <c r="D319" i="13" s="1"/>
  <c r="E579" i="13"/>
  <c r="F579" i="13" s="1"/>
  <c r="D580" i="13" s="1"/>
  <c r="E753" i="13"/>
  <c r="F753" i="13" s="1"/>
  <c r="D754" i="13" s="1"/>
  <c r="E1014" i="13"/>
  <c r="F1014" i="13" s="1"/>
  <c r="D1015" i="13" s="1"/>
  <c r="G491" i="13"/>
  <c r="G230" i="13"/>
  <c r="G752" i="13"/>
  <c r="G840" i="13" l="1"/>
  <c r="G666" i="13"/>
  <c r="G492" i="13"/>
  <c r="G927" i="13"/>
  <c r="G753" i="13"/>
  <c r="G231" i="13"/>
  <c r="G1098" i="13"/>
  <c r="E754" i="13"/>
  <c r="F754" i="13" s="1"/>
  <c r="D755" i="13" s="1"/>
  <c r="E406" i="13"/>
  <c r="F406" i="13" s="1"/>
  <c r="D407" i="13" s="1"/>
  <c r="E580" i="13"/>
  <c r="F580" i="13" s="1"/>
  <c r="D581" i="13" s="1"/>
  <c r="G405" i="13"/>
  <c r="G579" i="13"/>
  <c r="E319" i="13"/>
  <c r="F319" i="13" s="1"/>
  <c r="D320" i="13" s="1"/>
  <c r="G318" i="13"/>
  <c r="E841" i="13"/>
  <c r="F841" i="13" s="1"/>
  <c r="D842" i="13" s="1"/>
  <c r="E145" i="13"/>
  <c r="F145" i="13" s="1"/>
  <c r="D146" i="13" s="1"/>
  <c r="E232" i="13"/>
  <c r="F232" i="13" s="1"/>
  <c r="D233" i="13" s="1"/>
  <c r="E928" i="13"/>
  <c r="F928" i="13" s="1"/>
  <c r="D929" i="13" s="1"/>
  <c r="G144" i="13"/>
  <c r="E493" i="13"/>
  <c r="F493" i="13" s="1"/>
  <c r="D494" i="13" s="1"/>
  <c r="E1183" i="13"/>
  <c r="F1183" i="13" s="1"/>
  <c r="D1184" i="13" s="1"/>
  <c r="E667" i="13"/>
  <c r="F667" i="13" s="1"/>
  <c r="D668" i="13" s="1"/>
  <c r="G1014" i="13"/>
  <c r="E1099" i="13"/>
  <c r="F1099" i="13" s="1"/>
  <c r="D1100" i="13" s="1"/>
  <c r="G1182" i="13"/>
  <c r="E1015" i="13"/>
  <c r="F1015" i="13" s="1"/>
  <c r="D1016" i="13" s="1"/>
  <c r="G928" i="13" l="1"/>
  <c r="G1183" i="13"/>
  <c r="G493" i="13"/>
  <c r="G145" i="13"/>
  <c r="G1015" i="13"/>
  <c r="G319" i="13"/>
  <c r="G754" i="13"/>
  <c r="G406" i="13"/>
  <c r="G580" i="13"/>
  <c r="E146" i="13"/>
  <c r="F146" i="13" s="1"/>
  <c r="D147" i="13" s="1"/>
  <c r="E842" i="13"/>
  <c r="F842" i="13" s="1"/>
  <c r="D843" i="13" s="1"/>
  <c r="E581" i="13"/>
  <c r="F581" i="13" s="1"/>
  <c r="D582" i="13" s="1"/>
  <c r="E494" i="13"/>
  <c r="F494" i="13" s="1"/>
  <c r="D495" i="13" s="1"/>
  <c r="G841" i="13"/>
  <c r="E1184" i="13"/>
  <c r="F1184" i="13" s="1"/>
  <c r="D1185" i="13" s="1"/>
  <c r="E407" i="13"/>
  <c r="F407" i="13" s="1"/>
  <c r="D408" i="13" s="1"/>
  <c r="E668" i="13"/>
  <c r="F668" i="13" s="1"/>
  <c r="D669" i="13" s="1"/>
  <c r="G667" i="13"/>
  <c r="E1100" i="13"/>
  <c r="F1100" i="13" s="1"/>
  <c r="D1101" i="13" s="1"/>
  <c r="E1016" i="13"/>
  <c r="F1016" i="13" s="1"/>
  <c r="D1017" i="13" s="1"/>
  <c r="E929" i="13"/>
  <c r="F929" i="13" s="1"/>
  <c r="D930" i="13" s="1"/>
  <c r="G232" i="13"/>
  <c r="E755" i="13"/>
  <c r="F755" i="13" s="1"/>
  <c r="D756" i="13" s="1"/>
  <c r="E233" i="13"/>
  <c r="F233" i="13" s="1"/>
  <c r="D234" i="13" s="1"/>
  <c r="G1099" i="13"/>
  <c r="E320" i="13"/>
  <c r="F320" i="13" s="1"/>
  <c r="D321" i="13" s="1"/>
  <c r="G581" i="13" l="1"/>
  <c r="G320" i="13"/>
  <c r="G494" i="13"/>
  <c r="G1184" i="13"/>
  <c r="G755" i="13"/>
  <c r="E582" i="13"/>
  <c r="F582" i="13" s="1"/>
  <c r="D583" i="13" s="1"/>
  <c r="E669" i="13"/>
  <c r="F669" i="13" s="1"/>
  <c r="D670" i="13" s="1"/>
  <c r="E756" i="13"/>
  <c r="F756" i="13" s="1"/>
  <c r="D757" i="13" s="1"/>
  <c r="G1100" i="13"/>
  <c r="E1017" i="13"/>
  <c r="F1017" i="13" s="1"/>
  <c r="D1018" i="13" s="1"/>
  <c r="E1101" i="13"/>
  <c r="F1101" i="13" s="1"/>
  <c r="D1102" i="13" s="1"/>
  <c r="E843" i="13"/>
  <c r="F843" i="13" s="1"/>
  <c r="D844" i="13" s="1"/>
  <c r="G407" i="13"/>
  <c r="G842" i="13"/>
  <c r="E930" i="13"/>
  <c r="F930" i="13" s="1"/>
  <c r="D931" i="13" s="1"/>
  <c r="E495" i="13"/>
  <c r="F495" i="13" s="1"/>
  <c r="D496" i="13" s="1"/>
  <c r="E321" i="13"/>
  <c r="F321" i="13" s="1"/>
  <c r="D322" i="13" s="1"/>
  <c r="E234" i="13"/>
  <c r="F234" i="13" s="1"/>
  <c r="D235" i="13" s="1"/>
  <c r="E1185" i="13"/>
  <c r="F1185" i="13" s="1"/>
  <c r="D1186" i="13" s="1"/>
  <c r="G146" i="13"/>
  <c r="E408" i="13"/>
  <c r="F408" i="13" s="1"/>
  <c r="D409" i="13" s="1"/>
  <c r="G929" i="13"/>
  <c r="G233" i="13"/>
  <c r="G1016" i="13"/>
  <c r="G668" i="13"/>
  <c r="E147" i="13"/>
  <c r="F147" i="13" s="1"/>
  <c r="D148" i="13" s="1"/>
  <c r="G408" i="13" l="1"/>
  <c r="G1017" i="13"/>
  <c r="G1185" i="13"/>
  <c r="G321" i="13"/>
  <c r="G843" i="13"/>
  <c r="G669" i="13"/>
  <c r="G234" i="13"/>
  <c r="G756" i="13"/>
  <c r="G495" i="13"/>
  <c r="G930" i="13"/>
  <c r="E757" i="13"/>
  <c r="F757" i="13" s="1"/>
  <c r="D758" i="13" s="1"/>
  <c r="E409" i="13"/>
  <c r="F409" i="13" s="1"/>
  <c r="D410" i="13" s="1"/>
  <c r="E322" i="13"/>
  <c r="F322" i="13" s="1"/>
  <c r="D323" i="13" s="1"/>
  <c r="G1101" i="13"/>
  <c r="G582" i="13"/>
  <c r="E1018" i="13"/>
  <c r="F1018" i="13" s="1"/>
  <c r="D1019" i="13" s="1"/>
  <c r="E844" i="13"/>
  <c r="F844" i="13" s="1"/>
  <c r="D845" i="13" s="1"/>
  <c r="E583" i="13"/>
  <c r="F583" i="13" s="1"/>
  <c r="D584" i="13" s="1"/>
  <c r="E235" i="13"/>
  <c r="F235" i="13" s="1"/>
  <c r="D236" i="13" s="1"/>
  <c r="E496" i="13"/>
  <c r="F496" i="13" s="1"/>
  <c r="D497" i="13" s="1"/>
  <c r="E670" i="13"/>
  <c r="F670" i="13" s="1"/>
  <c r="D671" i="13" s="1"/>
  <c r="E1102" i="13"/>
  <c r="F1102" i="13" s="1"/>
  <c r="D1103" i="13" s="1"/>
  <c r="E148" i="13"/>
  <c r="F148" i="13" s="1"/>
  <c r="D149" i="13" s="1"/>
  <c r="G147" i="13"/>
  <c r="E1186" i="13"/>
  <c r="F1186" i="13" s="1"/>
  <c r="D1187" i="13" s="1"/>
  <c r="E931" i="13"/>
  <c r="F931" i="13" s="1"/>
  <c r="D932" i="13" s="1"/>
  <c r="G496" i="13" l="1"/>
  <c r="G322" i="13"/>
  <c r="G1102" i="13"/>
  <c r="G757" i="13"/>
  <c r="G583" i="13"/>
  <c r="G1018" i="13"/>
  <c r="G931" i="13"/>
  <c r="G235" i="13"/>
  <c r="E1019" i="13"/>
  <c r="F1019" i="13" s="1"/>
  <c r="D1020" i="13" s="1"/>
  <c r="E932" i="13"/>
  <c r="F932" i="13" s="1"/>
  <c r="D933" i="13" s="1"/>
  <c r="E410" i="13"/>
  <c r="F410" i="13" s="1"/>
  <c r="D411" i="13" s="1"/>
  <c r="G409" i="13"/>
  <c r="E1103" i="13"/>
  <c r="F1103" i="13" s="1"/>
  <c r="D1104" i="13" s="1"/>
  <c r="G670" i="13"/>
  <c r="G1186" i="13"/>
  <c r="G148" i="13"/>
  <c r="E497" i="13"/>
  <c r="F497" i="13" s="1"/>
  <c r="D498" i="13" s="1"/>
  <c r="E236" i="13"/>
  <c r="F236" i="13" s="1"/>
  <c r="D237" i="13" s="1"/>
  <c r="E1187" i="13"/>
  <c r="F1187" i="13" s="1"/>
  <c r="D1188" i="13" s="1"/>
  <c r="E149" i="13"/>
  <c r="F149" i="13" s="1"/>
  <c r="D150" i="13" s="1"/>
  <c r="E758" i="13"/>
  <c r="F758" i="13" s="1"/>
  <c r="D759" i="13" s="1"/>
  <c r="E845" i="13"/>
  <c r="F845" i="13" s="1"/>
  <c r="D846" i="13" s="1"/>
  <c r="E323" i="13"/>
  <c r="F323" i="13" s="1"/>
  <c r="D324" i="13" s="1"/>
  <c r="E584" i="13"/>
  <c r="F584" i="13" s="1"/>
  <c r="D585" i="13" s="1"/>
  <c r="E671" i="13"/>
  <c r="F671" i="13" s="1"/>
  <c r="D672" i="13" s="1"/>
  <c r="G844" i="13"/>
  <c r="G845" i="13" l="1"/>
  <c r="G149" i="13"/>
  <c r="G1103" i="13"/>
  <c r="G1019" i="13"/>
  <c r="G584" i="13"/>
  <c r="G758" i="13"/>
  <c r="G236" i="13"/>
  <c r="G1187" i="13"/>
  <c r="E411" i="13"/>
  <c r="F411" i="13" s="1"/>
  <c r="D412" i="13" s="1"/>
  <c r="G410" i="13"/>
  <c r="G932" i="13"/>
  <c r="E1104" i="13"/>
  <c r="F1104" i="13" s="1"/>
  <c r="D1105" i="13" s="1"/>
  <c r="E1188" i="13"/>
  <c r="F1188" i="13" s="1"/>
  <c r="D1189" i="13" s="1"/>
  <c r="G497" i="13"/>
  <c r="E759" i="13"/>
  <c r="F759" i="13" s="1"/>
  <c r="D760" i="13" s="1"/>
  <c r="E585" i="13"/>
  <c r="F585" i="13" s="1"/>
  <c r="D586" i="13" s="1"/>
  <c r="E324" i="13"/>
  <c r="F324" i="13" s="1"/>
  <c r="D325" i="13" s="1"/>
  <c r="E237" i="13"/>
  <c r="F237" i="13" s="1"/>
  <c r="D238" i="13" s="1"/>
  <c r="E498" i="13"/>
  <c r="F498" i="13" s="1"/>
  <c r="D499" i="13" s="1"/>
  <c r="E846" i="13"/>
  <c r="F846" i="13" s="1"/>
  <c r="D847" i="13" s="1"/>
  <c r="E672" i="13"/>
  <c r="F672" i="13" s="1"/>
  <c r="D673" i="13" s="1"/>
  <c r="E933" i="13"/>
  <c r="F933" i="13" s="1"/>
  <c r="D934" i="13" s="1"/>
  <c r="G671" i="13"/>
  <c r="G323" i="13"/>
  <c r="E150" i="13"/>
  <c r="F150" i="13" s="1"/>
  <c r="D151" i="13" s="1"/>
  <c r="E1020" i="13"/>
  <c r="F1020" i="13" s="1"/>
  <c r="D1021" i="13" s="1"/>
  <c r="G585" i="13" l="1"/>
  <c r="G411" i="13"/>
  <c r="G933" i="13"/>
  <c r="G672" i="13"/>
  <c r="G759" i="13"/>
  <c r="G1104" i="13"/>
  <c r="G150" i="13"/>
  <c r="G498" i="13"/>
  <c r="G1188" i="13"/>
  <c r="G237" i="13"/>
  <c r="E934" i="13"/>
  <c r="F934" i="13" s="1"/>
  <c r="D935" i="13" s="1"/>
  <c r="E586" i="13"/>
  <c r="F586" i="13" s="1"/>
  <c r="D587" i="13" s="1"/>
  <c r="E325" i="13"/>
  <c r="F325" i="13" s="1"/>
  <c r="D326" i="13" s="1"/>
  <c r="E673" i="13"/>
  <c r="F673" i="13" s="1"/>
  <c r="D674" i="13" s="1"/>
  <c r="E1021" i="13"/>
  <c r="F1021" i="13" s="1"/>
  <c r="D1022" i="13" s="1"/>
  <c r="E847" i="13"/>
  <c r="F847" i="13" s="1"/>
  <c r="D848" i="13" s="1"/>
  <c r="E412" i="13"/>
  <c r="F412" i="13" s="1"/>
  <c r="D413" i="13" s="1"/>
  <c r="G324" i="13"/>
  <c r="G1020" i="13"/>
  <c r="G846" i="13"/>
  <c r="E1189" i="13"/>
  <c r="F1189" i="13" s="1"/>
  <c r="D1190" i="13" s="1"/>
  <c r="E151" i="13"/>
  <c r="F151" i="13" s="1"/>
  <c r="D152" i="13" s="1"/>
  <c r="E1105" i="13"/>
  <c r="F1105" i="13" s="1"/>
  <c r="D1106" i="13" s="1"/>
  <c r="E238" i="13"/>
  <c r="F238" i="13" s="1"/>
  <c r="D239" i="13" s="1"/>
  <c r="E499" i="13"/>
  <c r="F499" i="13" s="1"/>
  <c r="D500" i="13" s="1"/>
  <c r="E760" i="13"/>
  <c r="F760" i="13" s="1"/>
  <c r="D761" i="13" s="1"/>
  <c r="G760" i="13" l="1"/>
  <c r="G151" i="13"/>
  <c r="G1105" i="13"/>
  <c r="G1021" i="13"/>
  <c r="G499" i="13"/>
  <c r="G673" i="13"/>
  <c r="G1189" i="13"/>
  <c r="E1190" i="13"/>
  <c r="F1190" i="13" s="1"/>
  <c r="D1191" i="13" s="1"/>
  <c r="G238" i="13"/>
  <c r="G934" i="13"/>
  <c r="E1106" i="13"/>
  <c r="F1106" i="13" s="1"/>
  <c r="D1107" i="13" s="1"/>
  <c r="E1022" i="13"/>
  <c r="F1022" i="13" s="1"/>
  <c r="D1023" i="13" s="1"/>
  <c r="E674" i="13"/>
  <c r="F674" i="13" s="1"/>
  <c r="D675" i="13" s="1"/>
  <c r="E935" i="13"/>
  <c r="F935" i="13" s="1"/>
  <c r="D936" i="13" s="1"/>
  <c r="G325" i="13"/>
  <c r="G412" i="13"/>
  <c r="E326" i="13"/>
  <c r="F326" i="13" s="1"/>
  <c r="D327" i="13" s="1"/>
  <c r="E587" i="13"/>
  <c r="F587" i="13" s="1"/>
  <c r="D588" i="13" s="1"/>
  <c r="E848" i="13"/>
  <c r="F848" i="13" s="1"/>
  <c r="D849" i="13" s="1"/>
  <c r="G586" i="13"/>
  <c r="E761" i="13"/>
  <c r="F761" i="13" s="1"/>
  <c r="D762" i="13" s="1"/>
  <c r="G847" i="13"/>
  <c r="E239" i="13"/>
  <c r="F239" i="13" s="1"/>
  <c r="D240" i="13" s="1"/>
  <c r="E413" i="13"/>
  <c r="F413" i="13" s="1"/>
  <c r="D414" i="13" s="1"/>
  <c r="E500" i="13"/>
  <c r="F500" i="13" s="1"/>
  <c r="D501" i="13" s="1"/>
  <c r="E152" i="13"/>
  <c r="F152" i="13" s="1"/>
  <c r="D153" i="13" s="1"/>
  <c r="G152" i="13" l="1"/>
  <c r="G935" i="13"/>
  <c r="G587" i="13"/>
  <c r="G674" i="13"/>
  <c r="G1022" i="13"/>
  <c r="E240" i="13"/>
  <c r="F240" i="13" s="1"/>
  <c r="D241" i="13" s="1"/>
  <c r="G239" i="13"/>
  <c r="E153" i="13"/>
  <c r="F153" i="13" s="1"/>
  <c r="D154" i="13" s="1"/>
  <c r="E675" i="13"/>
  <c r="F675" i="13" s="1"/>
  <c r="D676" i="13" s="1"/>
  <c r="G500" i="13"/>
  <c r="G761" i="13"/>
  <c r="E1023" i="13"/>
  <c r="F1023" i="13" s="1"/>
  <c r="D1024" i="13" s="1"/>
  <c r="G1190" i="13"/>
  <c r="E1191" i="13"/>
  <c r="F1191" i="13" s="1"/>
  <c r="D1192" i="13" s="1"/>
  <c r="G848" i="13"/>
  <c r="E327" i="13"/>
  <c r="F327" i="13" s="1"/>
  <c r="D328" i="13" s="1"/>
  <c r="G413" i="13"/>
  <c r="E849" i="13"/>
  <c r="F849" i="13" s="1"/>
  <c r="D850" i="13" s="1"/>
  <c r="G326" i="13"/>
  <c r="E1107" i="13"/>
  <c r="F1107" i="13" s="1"/>
  <c r="D1108" i="13" s="1"/>
  <c r="E588" i="13"/>
  <c r="F588" i="13" s="1"/>
  <c r="D589" i="13" s="1"/>
  <c r="E936" i="13"/>
  <c r="F936" i="13" s="1"/>
  <c r="D937" i="13" s="1"/>
  <c r="E501" i="13"/>
  <c r="F501" i="13" s="1"/>
  <c r="D502" i="13" s="1"/>
  <c r="E762" i="13"/>
  <c r="F762" i="13" s="1"/>
  <c r="D763" i="13" s="1"/>
  <c r="E414" i="13"/>
  <c r="F414" i="13" s="1"/>
  <c r="D415" i="13" s="1"/>
  <c r="G1106" i="13"/>
  <c r="G1107" i="13" l="1"/>
  <c r="G414" i="13"/>
  <c r="G327" i="13"/>
  <c r="G1191" i="13"/>
  <c r="G153" i="13"/>
  <c r="G1023" i="13"/>
  <c r="G849" i="13"/>
  <c r="G762" i="13"/>
  <c r="E502" i="13"/>
  <c r="F502" i="13" s="1"/>
  <c r="D503" i="13" s="1"/>
  <c r="E589" i="13"/>
  <c r="F589" i="13" s="1"/>
  <c r="D590" i="13" s="1"/>
  <c r="E328" i="13"/>
  <c r="F328" i="13" s="1"/>
  <c r="D329" i="13" s="1"/>
  <c r="E1108" i="13"/>
  <c r="F1108" i="13" s="1"/>
  <c r="D1109" i="13" s="1"/>
  <c r="E850" i="13"/>
  <c r="F850" i="13" s="1"/>
  <c r="D851" i="13" s="1"/>
  <c r="E241" i="13"/>
  <c r="F241" i="13" s="1"/>
  <c r="D242" i="13" s="1"/>
  <c r="E1024" i="13"/>
  <c r="F1024" i="13" s="1"/>
  <c r="D1025" i="13" s="1"/>
  <c r="E415" i="13"/>
  <c r="F415" i="13" s="1"/>
  <c r="D416" i="13" s="1"/>
  <c r="E763" i="13"/>
  <c r="F763" i="13" s="1"/>
  <c r="D764" i="13" s="1"/>
  <c r="E1192" i="13"/>
  <c r="F1192" i="13" s="1"/>
  <c r="D1193" i="13" s="1"/>
  <c r="G675" i="13"/>
  <c r="G501" i="13"/>
  <c r="G936" i="13"/>
  <c r="E154" i="13"/>
  <c r="F154" i="13" s="1"/>
  <c r="D155" i="13" s="1"/>
  <c r="G240" i="13"/>
  <c r="E937" i="13"/>
  <c r="F937" i="13" s="1"/>
  <c r="D938" i="13" s="1"/>
  <c r="E676" i="13"/>
  <c r="F676" i="13" s="1"/>
  <c r="D677" i="13" s="1"/>
  <c r="G588" i="13"/>
  <c r="G1024" i="13" l="1"/>
  <c r="G850" i="13"/>
  <c r="G937" i="13"/>
  <c r="G415" i="13"/>
  <c r="G154" i="13"/>
  <c r="G1192" i="13"/>
  <c r="G502" i="13"/>
  <c r="G676" i="13"/>
  <c r="G241" i="13"/>
  <c r="E1109" i="13"/>
  <c r="F1109" i="13" s="1"/>
  <c r="D1110" i="13" s="1"/>
  <c r="E1025" i="13"/>
  <c r="F1025" i="13" s="1"/>
  <c r="D1026" i="13" s="1"/>
  <c r="G763" i="13"/>
  <c r="E329" i="13"/>
  <c r="F329" i="13" s="1"/>
  <c r="D330" i="13" s="1"/>
  <c r="G328" i="13"/>
  <c r="E677" i="13"/>
  <c r="F677" i="13" s="1"/>
  <c r="D678" i="13" s="1"/>
  <c r="E503" i="13"/>
  <c r="F503" i="13" s="1"/>
  <c r="D504" i="13" s="1"/>
  <c r="E1193" i="13"/>
  <c r="F1193" i="13" s="1"/>
  <c r="D1194" i="13" s="1"/>
  <c r="E764" i="13"/>
  <c r="F764" i="13" s="1"/>
  <c r="D765" i="13" s="1"/>
  <c r="E416" i="13"/>
  <c r="F416" i="13" s="1"/>
  <c r="D417" i="13" s="1"/>
  <c r="E938" i="13"/>
  <c r="F938" i="13" s="1"/>
  <c r="D939" i="13" s="1"/>
  <c r="E590" i="13"/>
  <c r="F590" i="13" s="1"/>
  <c r="D591" i="13" s="1"/>
  <c r="G589" i="13"/>
  <c r="E851" i="13"/>
  <c r="F851" i="13" s="1"/>
  <c r="D852" i="13" s="1"/>
  <c r="E155" i="13"/>
  <c r="F155" i="13" s="1"/>
  <c r="D156" i="13" s="1"/>
  <c r="E242" i="13"/>
  <c r="F242" i="13" s="1"/>
  <c r="D243" i="13" s="1"/>
  <c r="G1108" i="13"/>
  <c r="G329" i="13" l="1"/>
  <c r="G503" i="13"/>
  <c r="G938" i="13"/>
  <c r="G1025" i="13"/>
  <c r="G677" i="13"/>
  <c r="G155" i="13"/>
  <c r="G851" i="13"/>
  <c r="G1193" i="13"/>
  <c r="E678" i="13"/>
  <c r="F678" i="13" s="1"/>
  <c r="D679" i="13" s="1"/>
  <c r="E504" i="13"/>
  <c r="F504" i="13" s="1"/>
  <c r="D505" i="13" s="1"/>
  <c r="E852" i="13"/>
  <c r="F852" i="13" s="1"/>
  <c r="D853" i="13" s="1"/>
  <c r="G416" i="13"/>
  <c r="E243" i="13"/>
  <c r="F243" i="13" s="1"/>
  <c r="D244" i="13" s="1"/>
  <c r="G242" i="13"/>
  <c r="G590" i="13"/>
  <c r="G764" i="13"/>
  <c r="E330" i="13"/>
  <c r="F330" i="13" s="1"/>
  <c r="D331" i="13" s="1"/>
  <c r="E156" i="13"/>
  <c r="F156" i="13" s="1"/>
  <c r="D157" i="13" s="1"/>
  <c r="E1110" i="13"/>
  <c r="F1110" i="13" s="1"/>
  <c r="D1111" i="13" s="1"/>
  <c r="E417" i="13"/>
  <c r="F417" i="13" s="1"/>
  <c r="D418" i="13" s="1"/>
  <c r="E591" i="13"/>
  <c r="F591" i="13" s="1"/>
  <c r="D592" i="13" s="1"/>
  <c r="G1109" i="13"/>
  <c r="E1026" i="13"/>
  <c r="F1026" i="13" s="1"/>
  <c r="D1027" i="13" s="1"/>
  <c r="E765" i="13"/>
  <c r="F765" i="13" s="1"/>
  <c r="D766" i="13" s="1"/>
  <c r="E939" i="13"/>
  <c r="F939" i="13" s="1"/>
  <c r="D940" i="13" s="1"/>
  <c r="E1194" i="13"/>
  <c r="F1194" i="13" s="1"/>
  <c r="D1195" i="13" s="1"/>
  <c r="G591" i="13" l="1"/>
  <c r="G243" i="13"/>
  <c r="G939" i="13"/>
  <c r="G678" i="13"/>
  <c r="G504" i="13"/>
  <c r="G156" i="13"/>
  <c r="G1110" i="13"/>
  <c r="G1026" i="13"/>
  <c r="G852" i="13"/>
  <c r="E1111" i="13"/>
  <c r="F1111" i="13" s="1"/>
  <c r="D1112" i="13" s="1"/>
  <c r="E1195" i="13"/>
  <c r="F1195" i="13" s="1"/>
  <c r="D1196" i="13" s="1"/>
  <c r="E853" i="13"/>
  <c r="F853" i="13" s="1"/>
  <c r="D854" i="13" s="1"/>
  <c r="E505" i="13"/>
  <c r="F505" i="13" s="1"/>
  <c r="D506" i="13" s="1"/>
  <c r="E592" i="13"/>
  <c r="F592" i="13" s="1"/>
  <c r="D593" i="13" s="1"/>
  <c r="E418" i="13"/>
  <c r="F418" i="13" s="1"/>
  <c r="D419" i="13" s="1"/>
  <c r="G765" i="13"/>
  <c r="E940" i="13"/>
  <c r="F940" i="13" s="1"/>
  <c r="D941" i="13" s="1"/>
  <c r="E766" i="13"/>
  <c r="F766" i="13" s="1"/>
  <c r="D767" i="13" s="1"/>
  <c r="E679" i="13"/>
  <c r="F679" i="13" s="1"/>
  <c r="D680" i="13" s="1"/>
  <c r="E1027" i="13"/>
  <c r="F1027" i="13" s="1"/>
  <c r="D1028" i="13" s="1"/>
  <c r="G330" i="13"/>
  <c r="E244" i="13"/>
  <c r="F244" i="13" s="1"/>
  <c r="D245" i="13" s="1"/>
  <c r="E157" i="13"/>
  <c r="F157" i="13" s="1"/>
  <c r="D158" i="13" s="1"/>
  <c r="G1194" i="13"/>
  <c r="G417" i="13"/>
  <c r="E331" i="13"/>
  <c r="F331" i="13" s="1"/>
  <c r="D332" i="13" s="1"/>
  <c r="G157" i="13" l="1"/>
  <c r="G1027" i="13"/>
  <c r="G418" i="13"/>
  <c r="G1195" i="13"/>
  <c r="G331" i="13"/>
  <c r="G505" i="13"/>
  <c r="G244" i="13"/>
  <c r="G940" i="13"/>
  <c r="G679" i="13"/>
  <c r="G766" i="13"/>
  <c r="E1196" i="13"/>
  <c r="F1196" i="13" s="1"/>
  <c r="D1197" i="13" s="1"/>
  <c r="E941" i="13"/>
  <c r="F941" i="13" s="1"/>
  <c r="D942" i="13" s="1"/>
  <c r="E245" i="13"/>
  <c r="F245" i="13" s="1"/>
  <c r="D246" i="13" s="1"/>
  <c r="E680" i="13"/>
  <c r="F680" i="13" s="1"/>
  <c r="D681" i="13" s="1"/>
  <c r="E593" i="13"/>
  <c r="F593" i="13" s="1"/>
  <c r="D594" i="13" s="1"/>
  <c r="G592" i="13"/>
  <c r="E506" i="13"/>
  <c r="F506" i="13" s="1"/>
  <c r="D507" i="13" s="1"/>
  <c r="E767" i="13"/>
  <c r="F767" i="13" s="1"/>
  <c r="D768" i="13" s="1"/>
  <c r="E1028" i="13"/>
  <c r="F1028" i="13" s="1"/>
  <c r="D1029" i="13" s="1"/>
  <c r="E158" i="13"/>
  <c r="F158" i="13" s="1"/>
  <c r="D159" i="13" s="1"/>
  <c r="G853" i="13"/>
  <c r="G1111" i="13"/>
  <c r="E419" i="13"/>
  <c r="F419" i="13" s="1"/>
  <c r="D420" i="13" s="1"/>
  <c r="E332" i="13"/>
  <c r="F332" i="13" s="1"/>
  <c r="D333" i="13" s="1"/>
  <c r="E854" i="13"/>
  <c r="F854" i="13" s="1"/>
  <c r="D855" i="13" s="1"/>
  <c r="E1112" i="13"/>
  <c r="F1112" i="13" s="1"/>
  <c r="D1113" i="13" s="1"/>
  <c r="G419" i="13" l="1"/>
  <c r="G767" i="13"/>
  <c r="G506" i="13"/>
  <c r="G245" i="13"/>
  <c r="G941" i="13"/>
  <c r="G332" i="13"/>
  <c r="G1028" i="13"/>
  <c r="E594" i="13"/>
  <c r="E595" i="13" s="1"/>
  <c r="G680" i="13"/>
  <c r="G1196" i="13"/>
  <c r="E942" i="13"/>
  <c r="E943" i="13" s="1"/>
  <c r="E681" i="13"/>
  <c r="E682" i="13" s="1"/>
  <c r="E855" i="13"/>
  <c r="E856" i="13" s="1"/>
  <c r="G854" i="13"/>
  <c r="G593" i="13"/>
  <c r="E1197" i="13"/>
  <c r="E1198" i="13" s="1"/>
  <c r="G158" i="13"/>
  <c r="E507" i="13"/>
  <c r="E508" i="13" s="1"/>
  <c r="E333" i="13"/>
  <c r="E334" i="13" s="1"/>
  <c r="E246" i="13"/>
  <c r="E247" i="13" s="1"/>
  <c r="E159" i="13"/>
  <c r="E160" i="13" s="1"/>
  <c r="E420" i="13"/>
  <c r="E421" i="13" s="1"/>
  <c r="E768" i="13"/>
  <c r="E769" i="13" s="1"/>
  <c r="E1029" i="13"/>
  <c r="E1030" i="13" s="1"/>
  <c r="E1113" i="13"/>
  <c r="E1114" i="13" s="1"/>
  <c r="G1112" i="13"/>
  <c r="F768" i="13" l="1"/>
  <c r="G768" i="13" s="1"/>
  <c r="F855" i="13"/>
  <c r="G855" i="13" s="1"/>
  <c r="F246" i="13"/>
  <c r="G246" i="13" s="1"/>
  <c r="F333" i="13"/>
  <c r="G333" i="13" s="1"/>
  <c r="F159" i="13"/>
  <c r="G159" i="13" s="1"/>
  <c r="F507" i="13"/>
  <c r="G507" i="13" s="1"/>
  <c r="F942" i="13"/>
  <c r="G942" i="13" s="1"/>
  <c r="F681" i="13"/>
  <c r="G681" i="13" s="1"/>
  <c r="F1197" i="13"/>
  <c r="G1197" i="13" s="1"/>
  <c r="F1029" i="13"/>
  <c r="G1029" i="13" s="1"/>
  <c r="F594" i="13"/>
  <c r="G594" i="13" s="1"/>
  <c r="F1113" i="13"/>
  <c r="G1113" i="13" s="1"/>
  <c r="F420" i="13"/>
  <c r="G420" i="13" s="1"/>
  <c r="G22" i="39" l="1"/>
  <c r="G21" i="39"/>
  <c r="G20" i="39"/>
  <c r="G19" i="39"/>
  <c r="G18" i="39"/>
  <c r="G17" i="39"/>
  <c r="G16" i="39"/>
  <c r="G15" i="39"/>
  <c r="G14" i="39"/>
  <c r="G13" i="39"/>
  <c r="G12" i="39"/>
  <c r="G11" i="39"/>
  <c r="G10" i="39" l="1"/>
  <c r="G23" i="39" s="1"/>
  <c r="C23" i="39"/>
  <c r="L242" i="2" s="1"/>
  <c r="L246" i="2" s="1"/>
  <c r="G251" i="2" s="1"/>
  <c r="G252" i="2" s="1"/>
  <c r="H251" i="2" l="1"/>
  <c r="H250" i="2"/>
  <c r="H249" i="2"/>
  <c r="D21" i="13" l="1"/>
  <c r="F21" i="13" s="1"/>
  <c r="D21" i="20"/>
  <c r="F21" i="20" s="1"/>
  <c r="H252" i="2"/>
  <c r="L250" i="2"/>
  <c r="D22" i="13"/>
  <c r="F22" i="13" s="1"/>
  <c r="D22" i="20"/>
  <c r="F22" i="20" s="1"/>
  <c r="I250" i="2"/>
  <c r="I251" i="2"/>
  <c r="I249" i="2" s="1"/>
  <c r="L249" i="2" s="1"/>
  <c r="D23" i="20"/>
  <c r="F23" i="20" s="1"/>
  <c r="D23" i="13"/>
  <c r="F23" i="13" s="1"/>
  <c r="L251" i="2" l="1"/>
  <c r="L252" i="2" s="1"/>
  <c r="G178" i="2" s="1"/>
  <c r="F24" i="20"/>
  <c r="F29" i="20" s="1"/>
  <c r="F30" i="20" s="1"/>
  <c r="F24" i="13"/>
  <c r="E29" i="13" s="1"/>
  <c r="E30" i="13" s="1"/>
  <c r="F56" i="13" l="1"/>
  <c r="E34" i="13"/>
  <c r="F34" i="20"/>
  <c r="G56" i="20"/>
  <c r="L197" i="2"/>
  <c r="G197" i="2"/>
  <c r="E35" i="13"/>
  <c r="F35" i="20"/>
  <c r="G191" i="2"/>
  <c r="G185" i="2" s="1"/>
  <c r="G189" i="2" s="1"/>
  <c r="G199" i="2" s="1"/>
  <c r="L191" i="2"/>
  <c r="F36" i="20" l="1"/>
  <c r="F40" i="20" s="1"/>
  <c r="G50" i="20" s="1"/>
  <c r="L185" i="2"/>
  <c r="L189" i="2" s="1"/>
  <c r="F50" i="13" s="1"/>
  <c r="F49" i="13"/>
  <c r="G49" i="20"/>
  <c r="E36" i="13"/>
  <c r="E40" i="13" s="1"/>
  <c r="F57" i="13" s="1"/>
  <c r="G57" i="20" l="1"/>
  <c r="L199" i="2"/>
  <c r="L13" i="2" s="1"/>
  <c r="G47" i="20" s="1"/>
  <c r="G51" i="20" s="1"/>
  <c r="G55" i="20" s="1"/>
  <c r="G58" i="20" s="1"/>
  <c r="L27" i="2" l="1"/>
  <c r="L28" i="2" s="1"/>
  <c r="L34" i="2"/>
  <c r="L31" i="2"/>
  <c r="F70" i="13" s="1"/>
  <c r="F47" i="13"/>
  <c r="F51" i="13" s="1"/>
  <c r="F55" i="13" s="1"/>
  <c r="F58" i="13" s="1"/>
  <c r="F65" i="13" s="1"/>
  <c r="F66" i="13" s="1"/>
  <c r="L18" i="2"/>
  <c r="G60" i="20"/>
  <c r="G68" i="20" s="1"/>
  <c r="G69" i="20" s="1"/>
  <c r="G65" i="20"/>
  <c r="G66" i="20" s="1"/>
  <c r="G70" i="20" l="1"/>
  <c r="I632" i="20" s="1"/>
  <c r="I633" i="20" s="1"/>
  <c r="F60" i="13"/>
  <c r="F68" i="13" s="1"/>
  <c r="F69" i="13" s="1"/>
  <c r="F71" i="13" s="1"/>
  <c r="J965" i="13"/>
  <c r="J530" i="13"/>
  <c r="J356" i="13"/>
  <c r="J617" i="13"/>
  <c r="J878" i="13"/>
  <c r="J1049" i="13"/>
  <c r="J443" i="13"/>
  <c r="J1133" i="13"/>
  <c r="J269" i="13"/>
  <c r="J704" i="13"/>
  <c r="J95" i="13"/>
  <c r="J182" i="13"/>
  <c r="J791" i="13"/>
  <c r="G71" i="20" l="1"/>
  <c r="I96" i="20"/>
  <c r="I364" i="20"/>
  <c r="I365" i="20" s="1"/>
  <c r="I543" i="20"/>
  <c r="I544" i="20" s="1"/>
  <c r="I275" i="20"/>
  <c r="I276" i="20" s="1"/>
  <c r="I186" i="20"/>
  <c r="I187" i="20" s="1"/>
  <c r="I454" i="20"/>
  <c r="I455" i="20" s="1"/>
  <c r="I721" i="20"/>
  <c r="I722" i="20" s="1"/>
  <c r="I810" i="20"/>
  <c r="I811" i="20" s="1"/>
  <c r="I901" i="20"/>
  <c r="I902" i="20" s="1"/>
  <c r="G389" i="20"/>
  <c r="G404" i="20"/>
  <c r="G101" i="20"/>
  <c r="G778" i="20"/>
  <c r="G150" i="20"/>
  <c r="G504" i="20"/>
  <c r="G234" i="20"/>
  <c r="G868" i="20"/>
  <c r="G280" i="20"/>
  <c r="G371" i="20"/>
  <c r="G581" i="20"/>
  <c r="G466" i="20"/>
  <c r="G509" i="20"/>
  <c r="G464" i="20"/>
  <c r="G825" i="20"/>
  <c r="G688" i="20"/>
  <c r="G338" i="20"/>
  <c r="G573" i="20"/>
  <c r="G782" i="20"/>
  <c r="G959" i="20"/>
  <c r="G741" i="20"/>
  <c r="G933" i="20"/>
  <c r="G236" i="20"/>
  <c r="G155" i="20"/>
  <c r="G392" i="20"/>
  <c r="G663" i="20"/>
  <c r="G858" i="20"/>
  <c r="G777" i="20"/>
  <c r="G468" i="20"/>
  <c r="N446" i="20" s="1"/>
  <c r="G425" i="20"/>
  <c r="G549" i="20"/>
  <c r="G309" i="20"/>
  <c r="G659" i="20"/>
  <c r="G294" i="20"/>
  <c r="G916" i="20"/>
  <c r="G913" i="20"/>
  <c r="G284" i="20"/>
  <c r="G214" i="20"/>
  <c r="G112" i="20"/>
  <c r="G585" i="20"/>
  <c r="G859" i="20"/>
  <c r="G476" i="20"/>
  <c r="G860" i="20"/>
  <c r="G333" i="20"/>
  <c r="G857" i="20"/>
  <c r="G661" i="20"/>
  <c r="G308" i="20"/>
  <c r="G961" i="20"/>
  <c r="G385" i="20"/>
  <c r="G424" i="20"/>
  <c r="G387" i="20"/>
  <c r="G678" i="20"/>
  <c r="G671" i="20"/>
  <c r="G922" i="20"/>
  <c r="G829" i="20"/>
  <c r="G568" i="20"/>
  <c r="G605" i="20"/>
  <c r="G595" i="20"/>
  <c r="G559" i="20"/>
  <c r="G748" i="20"/>
  <c r="G477" i="20"/>
  <c r="G770" i="20"/>
  <c r="G954" i="20"/>
  <c r="G943" i="20"/>
  <c r="I97" i="20"/>
  <c r="G386" i="20"/>
  <c r="G551" i="20"/>
  <c r="G200" i="20"/>
  <c r="G224" i="20"/>
  <c r="G683" i="20"/>
  <c r="G418" i="20"/>
  <c r="G460" i="20"/>
  <c r="G124" i="20"/>
  <c r="G651" i="20"/>
  <c r="G510" i="20"/>
  <c r="G281" i="20"/>
  <c r="G853" i="20"/>
  <c r="G518" i="20"/>
  <c r="G238" i="20"/>
  <c r="G785" i="20"/>
  <c r="G380" i="20"/>
  <c r="N356" i="20" s="1"/>
  <c r="G561" i="20"/>
  <c r="G949" i="20"/>
  <c r="G929" i="20"/>
  <c r="G681" i="20"/>
  <c r="G500" i="20"/>
  <c r="G379" i="20"/>
  <c r="G764" i="20"/>
  <c r="G220" i="20"/>
  <c r="G640" i="20"/>
  <c r="G206" i="20"/>
  <c r="G204" i="20"/>
  <c r="G832" i="20"/>
  <c r="G201" i="20"/>
  <c r="G490" i="20"/>
  <c r="G932" i="20"/>
  <c r="G667" i="20"/>
  <c r="G501" i="20"/>
  <c r="G122" i="20"/>
  <c r="G228" i="20"/>
  <c r="G747" i="20"/>
  <c r="G827" i="20"/>
  <c r="G938" i="20"/>
  <c r="G305" i="20"/>
  <c r="G483" i="20"/>
  <c r="G677" i="20"/>
  <c r="G400" i="20"/>
  <c r="G154" i="20"/>
  <c r="G577" i="20"/>
  <c r="G474" i="20"/>
  <c r="G548" i="20"/>
  <c r="G692" i="20"/>
  <c r="G461" i="20"/>
  <c r="G208" i="20"/>
  <c r="G137" i="20"/>
  <c r="G285" i="20"/>
  <c r="G247" i="20"/>
  <c r="G784" i="20"/>
  <c r="G151" i="20"/>
  <c r="G944" i="20"/>
  <c r="G638" i="20"/>
  <c r="G153" i="20"/>
  <c r="G735" i="20"/>
  <c r="N713" i="20" s="1"/>
  <c r="G339" i="20"/>
  <c r="G402" i="20"/>
  <c r="G212" i="20"/>
  <c r="G411" i="20"/>
  <c r="G129" i="20"/>
  <c r="G851" i="20"/>
  <c r="G841" i="20"/>
  <c r="G420" i="20"/>
  <c r="G664" i="20"/>
  <c r="G297" i="20"/>
  <c r="G915" i="20"/>
  <c r="N893" i="20" s="1"/>
  <c r="G250" i="20"/>
  <c r="G225" i="20"/>
  <c r="G870" i="20"/>
  <c r="G909" i="20"/>
  <c r="G109" i="20"/>
  <c r="G194" i="20"/>
  <c r="G139" i="20"/>
  <c r="G197" i="20"/>
  <c r="G125" i="20"/>
  <c r="G111" i="20"/>
  <c r="G497" i="20"/>
  <c r="G232" i="20"/>
  <c r="G596" i="20"/>
  <c r="G136" i="20"/>
  <c r="G205" i="20"/>
  <c r="G515" i="20"/>
  <c r="G930" i="20"/>
  <c r="G644" i="20"/>
  <c r="G127" i="20"/>
  <c r="G384" i="20"/>
  <c r="G558" i="20"/>
  <c r="G776" i="20"/>
  <c r="G762" i="20"/>
  <c r="G507" i="20"/>
  <c r="G657" i="20"/>
  <c r="G639" i="20"/>
  <c r="G746" i="20"/>
  <c r="G478" i="20"/>
  <c r="G282" i="20"/>
  <c r="G935" i="20"/>
  <c r="G513" i="20"/>
  <c r="G487" i="20"/>
  <c r="G660" i="20"/>
  <c r="G566" i="20"/>
  <c r="G499" i="20"/>
  <c r="G301" i="20"/>
  <c r="G592" i="20"/>
  <c r="G839" i="20"/>
  <c r="G210" i="20"/>
  <c r="G956" i="20"/>
  <c r="G931" i="20"/>
  <c r="G939" i="20"/>
  <c r="G215" i="20"/>
  <c r="G941" i="20"/>
  <c r="G107" i="20"/>
  <c r="G964" i="20"/>
  <c r="G947" i="20"/>
  <c r="G142" i="20"/>
  <c r="G560" i="20"/>
  <c r="G960" i="20"/>
  <c r="G828" i="20"/>
  <c r="G726" i="20"/>
  <c r="G421" i="20"/>
  <c r="G113" i="20"/>
  <c r="G286" i="20"/>
  <c r="G484" i="20"/>
  <c r="G729" i="20"/>
  <c r="G465" i="20"/>
  <c r="G850" i="20"/>
  <c r="G831" i="20"/>
  <c r="G393" i="20"/>
  <c r="G245" i="20"/>
  <c r="G486" i="20"/>
  <c r="G493" i="20"/>
  <c r="G138" i="20"/>
  <c r="G666" i="20"/>
  <c r="G820" i="20"/>
  <c r="G871" i="20"/>
  <c r="G731" i="20"/>
  <c r="G957" i="20"/>
  <c r="G737" i="20"/>
  <c r="G594" i="20"/>
  <c r="G606" i="20"/>
  <c r="G104" i="20"/>
  <c r="G233" i="20"/>
  <c r="G381" i="20"/>
  <c r="G329" i="20"/>
  <c r="G602" i="20"/>
  <c r="G856" i="20"/>
  <c r="G835" i="20"/>
  <c r="G313" i="20"/>
  <c r="G836" i="20"/>
  <c r="G675" i="20"/>
  <c r="G202" i="20"/>
  <c r="G760" i="20"/>
  <c r="G317" i="20"/>
  <c r="G231" i="20"/>
  <c r="G582" i="20"/>
  <c r="G118" i="20"/>
  <c r="G426" i="20"/>
  <c r="G772" i="20"/>
  <c r="G607" i="20"/>
  <c r="G244" i="20"/>
  <c r="G552" i="20"/>
  <c r="G676" i="20"/>
  <c r="G670" i="20"/>
  <c r="G374" i="20"/>
  <c r="G673" i="20"/>
  <c r="G105" i="20"/>
  <c r="G584" i="20"/>
  <c r="G471" i="20"/>
  <c r="G382" i="20"/>
  <c r="G408" i="20"/>
  <c r="G642" i="20"/>
  <c r="G320" i="20"/>
  <c r="G948" i="20"/>
  <c r="G910" i="20"/>
  <c r="G907" i="20"/>
  <c r="G289" i="20"/>
  <c r="G598" i="20"/>
  <c r="G403" i="20"/>
  <c r="G394" i="20"/>
  <c r="G120" i="20"/>
  <c r="G428" i="20"/>
  <c r="G861" i="20"/>
  <c r="G306" i="20"/>
  <c r="G229" i="20"/>
  <c r="G923" i="20"/>
  <c r="G925" i="20"/>
  <c r="G562" i="20"/>
  <c r="G467" i="20"/>
  <c r="G121" i="20"/>
  <c r="G243" i="20"/>
  <c r="G696" i="20"/>
  <c r="G758" i="20"/>
  <c r="G479" i="20"/>
  <c r="G415" i="20"/>
  <c r="G213" i="20"/>
  <c r="G571" i="20"/>
  <c r="G413" i="20"/>
  <c r="G298" i="20"/>
  <c r="G222" i="20"/>
  <c r="G489" i="20"/>
  <c r="G388" i="20"/>
  <c r="G505" i="20"/>
  <c r="G328" i="20"/>
  <c r="G312" i="20"/>
  <c r="G921" i="20"/>
  <c r="G919" i="20"/>
  <c r="G911" i="20"/>
  <c r="G936" i="20"/>
  <c r="G495" i="20"/>
  <c r="G928" i="20"/>
  <c r="G779" i="20"/>
  <c r="G843" i="20"/>
  <c r="G940" i="20"/>
  <c r="G211" i="20"/>
  <c r="G567" i="20"/>
  <c r="G601" i="20"/>
  <c r="G160" i="20"/>
  <c r="G668" i="20"/>
  <c r="G508" i="20"/>
  <c r="G296" i="20"/>
  <c r="G496" i="20"/>
  <c r="G574" i="20"/>
  <c r="G575" i="20"/>
  <c r="G217" i="20"/>
  <c r="G396" i="20"/>
  <c r="G203" i="20"/>
  <c r="N178" i="20" s="1"/>
  <c r="G397" i="20"/>
  <c r="G370" i="20"/>
  <c r="G926" i="20"/>
  <c r="G140" i="20"/>
  <c r="G838" i="20"/>
  <c r="G302" i="20"/>
  <c r="G645" i="20"/>
  <c r="G322" i="20"/>
  <c r="G927" i="20"/>
  <c r="G733" i="20"/>
  <c r="G855" i="20"/>
  <c r="G147" i="20"/>
  <c r="G654" i="20"/>
  <c r="G840" i="20"/>
  <c r="G679" i="20"/>
  <c r="G579" i="20"/>
  <c r="G304" i="20"/>
  <c r="G781" i="20"/>
  <c r="G291" i="20"/>
  <c r="G553" i="20"/>
  <c r="G768" i="20"/>
  <c r="G686" i="20"/>
  <c r="G373" i="20"/>
  <c r="G749" i="20"/>
  <c r="G950" i="20"/>
  <c r="G819" i="20"/>
  <c r="G512" i="20"/>
  <c r="G246" i="20"/>
  <c r="G300" i="20"/>
  <c r="G665" i="20"/>
  <c r="G580" i="20"/>
  <c r="G106" i="20"/>
  <c r="G144" i="20"/>
  <c r="G756" i="20"/>
  <c r="G727" i="20"/>
  <c r="G378" i="20"/>
  <c r="G102" i="20"/>
  <c r="G459" i="20"/>
  <c r="G854" i="20"/>
  <c r="G773" i="20"/>
  <c r="G157" i="20"/>
  <c r="G423" i="20"/>
  <c r="G963" i="20"/>
  <c r="G108" i="20"/>
  <c r="G863" i="20"/>
  <c r="G728" i="20"/>
  <c r="G409" i="20"/>
  <c r="G600" i="20"/>
  <c r="G311" i="20"/>
  <c r="G488" i="20"/>
  <c r="G307" i="20"/>
  <c r="G917" i="20"/>
  <c r="G377" i="20"/>
  <c r="G823" i="20"/>
  <c r="N802" i="20" s="1"/>
  <c r="G845" i="20"/>
  <c r="G646" i="20"/>
  <c r="N624" i="20" s="1"/>
  <c r="G743" i="20"/>
  <c r="G842" i="20"/>
  <c r="G953" i="20"/>
  <c r="G287" i="20"/>
  <c r="G227" i="20"/>
  <c r="G283" i="20"/>
  <c r="G517" i="20"/>
  <c r="G687" i="20"/>
  <c r="G763" i="20"/>
  <c r="G473" i="20"/>
  <c r="G207" i="20"/>
  <c r="G847" i="20"/>
  <c r="G407" i="20"/>
  <c r="G753" i="20"/>
  <c r="G230" i="20"/>
  <c r="G126" i="20"/>
  <c r="G755" i="20"/>
  <c r="G209" i="20"/>
  <c r="G873" i="20"/>
  <c r="G149" i="20"/>
  <c r="G117" i="20"/>
  <c r="G485" i="20"/>
  <c r="G148" i="20"/>
  <c r="G637" i="20"/>
  <c r="G235" i="20"/>
  <c r="G690" i="20"/>
  <c r="G739" i="20"/>
  <c r="G115" i="20"/>
  <c r="G481" i="20"/>
  <c r="G326" i="20"/>
  <c r="G219" i="20"/>
  <c r="G693" i="20"/>
  <c r="G110" i="20"/>
  <c r="G290" i="20"/>
  <c r="G128" i="20"/>
  <c r="G216" i="20"/>
  <c r="G945" i="20"/>
  <c r="G506" i="20"/>
  <c r="G414" i="20"/>
  <c r="G334" i="20"/>
  <c r="G740" i="20"/>
  <c r="G152" i="20"/>
  <c r="G590" i="20"/>
  <c r="G565" i="20"/>
  <c r="G417" i="20"/>
  <c r="G555" i="20"/>
  <c r="G315" i="20"/>
  <c r="G511" i="20"/>
  <c r="G656" i="20"/>
  <c r="G419" i="20"/>
  <c r="G196" i="20"/>
  <c r="G416" i="20"/>
  <c r="G578" i="20"/>
  <c r="G123" i="20"/>
  <c r="G193" i="20"/>
  <c r="G942" i="20"/>
  <c r="G143" i="20"/>
  <c r="G191" i="20"/>
  <c r="G324" i="20"/>
  <c r="G750" i="20"/>
  <c r="G653" i="20"/>
  <c r="G912" i="20"/>
  <c r="G920" i="20"/>
  <c r="G463" i="20"/>
  <c r="G336" i="20"/>
  <c r="G669" i="20"/>
  <c r="G655" i="20"/>
  <c r="G695" i="20"/>
  <c r="G587" i="20"/>
  <c r="G470" i="20"/>
  <c r="G480" i="20"/>
  <c r="G908" i="20"/>
  <c r="G135" i="20"/>
  <c r="G765" i="20"/>
  <c r="G514" i="20"/>
  <c r="G494" i="20"/>
  <c r="G391" i="20"/>
  <c r="G732" i="20"/>
  <c r="G783" i="20"/>
  <c r="G824" i="20"/>
  <c r="G323" i="20"/>
  <c r="G292" i="20"/>
  <c r="N267" i="20" s="1"/>
  <c r="G736" i="20"/>
  <c r="G744" i="20"/>
  <c r="G146" i="20"/>
  <c r="G319" i="20"/>
  <c r="G410" i="20"/>
  <c r="G771" i="20"/>
  <c r="G672" i="20"/>
  <c r="G223" i="20"/>
  <c r="G331" i="20"/>
  <c r="G849" i="20"/>
  <c r="G759" i="20"/>
  <c r="G780" i="20"/>
  <c r="G862" i="20"/>
  <c r="G937" i="20"/>
  <c r="G295" i="20"/>
  <c r="G867" i="20"/>
  <c r="G869" i="20"/>
  <c r="G390" i="20"/>
  <c r="G557" i="20"/>
  <c r="N535" i="20" s="1"/>
  <c r="G751" i="20"/>
  <c r="G593" i="20"/>
  <c r="G680" i="20"/>
  <c r="G864" i="20"/>
  <c r="G218" i="20"/>
  <c r="G239" i="20"/>
  <c r="G643" i="20"/>
  <c r="G906" i="20"/>
  <c r="G401" i="20"/>
  <c r="G648" i="20"/>
  <c r="G588" i="20"/>
  <c r="G195" i="20"/>
  <c r="G591" i="20"/>
  <c r="G914" i="20"/>
  <c r="G412" i="20"/>
  <c r="G603" i="20"/>
  <c r="G691" i="20"/>
  <c r="G649" i="20"/>
  <c r="G599" i="20"/>
  <c r="G556" i="20"/>
  <c r="G383" i="20"/>
  <c r="G934" i="20"/>
  <c r="G844" i="20"/>
  <c r="G761" i="20"/>
  <c r="G159" i="20"/>
  <c r="G834" i="20"/>
  <c r="G652" i="20"/>
  <c r="G852" i="20"/>
  <c r="G658" i="20"/>
  <c r="G249" i="20"/>
  <c r="G866" i="20"/>
  <c r="G469" i="20"/>
  <c r="G503" i="20"/>
  <c r="G327" i="20"/>
  <c r="G550" i="20"/>
  <c r="G833" i="20"/>
  <c r="G141" i="20"/>
  <c r="G498" i="20"/>
  <c r="G745" i="20"/>
  <c r="G303" i="20"/>
  <c r="G572" i="20"/>
  <c r="G757" i="20"/>
  <c r="G132" i="20"/>
  <c r="G192" i="20"/>
  <c r="G589" i="20"/>
  <c r="G586" i="20"/>
  <c r="G472" i="20"/>
  <c r="G405" i="20"/>
  <c r="G241" i="20"/>
  <c r="G818" i="20"/>
  <c r="G248" i="20"/>
  <c r="G395" i="20"/>
  <c r="G946" i="20"/>
  <c r="G918" i="20"/>
  <c r="G564" i="20"/>
  <c r="G694" i="20"/>
  <c r="G563" i="20"/>
  <c r="G399" i="20"/>
  <c r="G482" i="20"/>
  <c r="G684" i="20"/>
  <c r="G874" i="20"/>
  <c r="G310" i="20"/>
  <c r="G682" i="20"/>
  <c r="G330" i="20"/>
  <c r="G872" i="20"/>
  <c r="G134" i="20"/>
  <c r="G965" i="20"/>
  <c r="G830" i="20"/>
  <c r="G114" i="20"/>
  <c r="N88" i="20" s="1"/>
  <c r="G156" i="20"/>
  <c r="G569" i="20"/>
  <c r="G369" i="20"/>
  <c r="G641" i="20"/>
  <c r="G848" i="20"/>
  <c r="G516" i="20"/>
  <c r="G924" i="20"/>
  <c r="G821" i="20"/>
  <c r="G962" i="20"/>
  <c r="G647" i="20"/>
  <c r="G730" i="20"/>
  <c r="G321" i="20"/>
  <c r="G119" i="20"/>
  <c r="G865" i="20"/>
  <c r="G815" i="20"/>
  <c r="G133" i="20"/>
  <c r="G316" i="20"/>
  <c r="G826" i="20"/>
  <c r="G325" i="20"/>
  <c r="G775" i="20"/>
  <c r="G116" i="20"/>
  <c r="G742" i="20"/>
  <c r="G103" i="20"/>
  <c r="G955" i="20"/>
  <c r="G299" i="20"/>
  <c r="G288" i="20"/>
  <c r="G462" i="20"/>
  <c r="G406" i="20"/>
  <c r="G846" i="20"/>
  <c r="G734" i="20"/>
  <c r="G554" i="20"/>
  <c r="G332" i="20"/>
  <c r="G597" i="20"/>
  <c r="G199" i="20"/>
  <c r="G576" i="20"/>
  <c r="G376" i="20"/>
  <c r="G951" i="20"/>
  <c r="G427" i="20"/>
  <c r="G240" i="20"/>
  <c r="G583" i="20"/>
  <c r="G375" i="20"/>
  <c r="G952" i="20"/>
  <c r="G570" i="20"/>
  <c r="G958" i="20"/>
  <c r="G689" i="20"/>
  <c r="G242" i="20"/>
  <c r="G372" i="20"/>
  <c r="G754" i="20"/>
  <c r="G131" i="20"/>
  <c r="G604" i="20"/>
  <c r="G335" i="20"/>
  <c r="G158" i="20"/>
  <c r="G502" i="20"/>
  <c r="G198" i="20"/>
  <c r="G237" i="20"/>
  <c r="G685" i="20"/>
  <c r="G314" i="20"/>
  <c r="G837" i="20"/>
  <c r="G817" i="20"/>
  <c r="G767" i="20"/>
  <c r="G145" i="20"/>
  <c r="G318" i="20"/>
  <c r="G816" i="20"/>
  <c r="G221" i="20"/>
  <c r="G766" i="20"/>
  <c r="G774" i="20"/>
  <c r="G491" i="20"/>
  <c r="G822" i="20"/>
  <c r="G769" i="20"/>
  <c r="G226" i="20"/>
  <c r="G492" i="20"/>
  <c r="G752" i="20"/>
  <c r="G475" i="20"/>
  <c r="G398" i="20"/>
  <c r="G130" i="20"/>
  <c r="G738" i="20"/>
  <c r="G650" i="20"/>
  <c r="G293" i="20"/>
  <c r="G422" i="20"/>
  <c r="G337" i="20"/>
  <c r="G674" i="20"/>
  <c r="G662" i="20"/>
  <c r="H100" i="13"/>
  <c r="H103" i="13"/>
  <c r="J96" i="13"/>
  <c r="H102" i="13"/>
  <c r="H101" i="13"/>
  <c r="H104" i="13"/>
  <c r="M104" i="13" s="1"/>
  <c r="H105" i="13"/>
  <c r="M105" i="13" s="1"/>
  <c r="H106" i="13"/>
  <c r="M106" i="13" s="1"/>
  <c r="H107" i="13"/>
  <c r="M107" i="13" s="1"/>
  <c r="H108" i="13"/>
  <c r="M108" i="13" s="1"/>
  <c r="H109" i="13"/>
  <c r="M109" i="13" s="1"/>
  <c r="H110" i="13"/>
  <c r="M110" i="13" s="1"/>
  <c r="H111" i="13"/>
  <c r="M111" i="13" s="1"/>
  <c r="H112" i="13"/>
  <c r="M112" i="13" s="1"/>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157" i="13"/>
  <c r="H158" i="13"/>
  <c r="H159" i="13"/>
  <c r="H711" i="13"/>
  <c r="M711" i="13" s="1"/>
  <c r="H710" i="13"/>
  <c r="M710" i="13" s="1"/>
  <c r="H712" i="13"/>
  <c r="M712" i="13" s="1"/>
  <c r="H713" i="13"/>
  <c r="M713" i="13" s="1"/>
  <c r="H709" i="13"/>
  <c r="M709" i="13" s="1"/>
  <c r="J705" i="13"/>
  <c r="H714" i="13"/>
  <c r="M714" i="13" s="1"/>
  <c r="H715" i="13"/>
  <c r="M715" i="13" s="1"/>
  <c r="H716" i="13"/>
  <c r="M716" i="13" s="1"/>
  <c r="H717" i="13"/>
  <c r="M717" i="13" s="1"/>
  <c r="H718" i="13"/>
  <c r="H719" i="13"/>
  <c r="H720" i="13"/>
  <c r="H721" i="13"/>
  <c r="H722" i="13"/>
  <c r="H723" i="13"/>
  <c r="H724" i="13"/>
  <c r="H725" i="13"/>
  <c r="H726" i="13"/>
  <c r="H727" i="13"/>
  <c r="H728" i="13"/>
  <c r="H729" i="13"/>
  <c r="H730" i="13"/>
  <c r="H731" i="13"/>
  <c r="H732" i="13"/>
  <c r="H733" i="13"/>
  <c r="H734" i="13"/>
  <c r="H735" i="13"/>
  <c r="H736" i="13"/>
  <c r="H737" i="13"/>
  <c r="H738" i="13"/>
  <c r="H739" i="13"/>
  <c r="H740" i="13"/>
  <c r="H741" i="13"/>
  <c r="H742" i="13"/>
  <c r="H743" i="13"/>
  <c r="H744" i="13"/>
  <c r="H745" i="13"/>
  <c r="H746" i="13"/>
  <c r="H747" i="13"/>
  <c r="H748" i="13"/>
  <c r="H749" i="13"/>
  <c r="H750" i="13"/>
  <c r="H751" i="13"/>
  <c r="H752" i="13"/>
  <c r="H753" i="13"/>
  <c r="H754" i="13"/>
  <c r="H755" i="13"/>
  <c r="H756" i="13"/>
  <c r="H757" i="13"/>
  <c r="H758" i="13"/>
  <c r="H759" i="13"/>
  <c r="H760" i="13"/>
  <c r="H761" i="13"/>
  <c r="H762" i="13"/>
  <c r="H763" i="13"/>
  <c r="H764" i="13"/>
  <c r="H765" i="13"/>
  <c r="H766" i="13"/>
  <c r="H767" i="13"/>
  <c r="H768" i="13"/>
  <c r="H1138" i="13"/>
  <c r="M1138" i="13" s="1"/>
  <c r="J1134" i="13"/>
  <c r="H1139" i="13"/>
  <c r="H1142" i="13"/>
  <c r="M1142" i="13" s="1"/>
  <c r="H1140" i="13"/>
  <c r="H1141" i="13"/>
  <c r="M1141" i="13" s="1"/>
  <c r="H1143" i="13"/>
  <c r="H1144" i="13"/>
  <c r="H1145" i="13"/>
  <c r="H1146" i="13"/>
  <c r="H1147" i="13"/>
  <c r="H1148" i="13"/>
  <c r="H1149" i="13"/>
  <c r="H1150" i="13"/>
  <c r="H1151" i="13"/>
  <c r="H1152" i="13"/>
  <c r="H1153" i="13"/>
  <c r="H1154" i="13"/>
  <c r="H1155" i="13"/>
  <c r="H1156" i="13"/>
  <c r="H1157" i="13"/>
  <c r="H1158" i="13"/>
  <c r="H1159" i="13"/>
  <c r="H1160" i="13"/>
  <c r="H1161" i="13"/>
  <c r="H1162" i="13"/>
  <c r="H1163" i="13"/>
  <c r="H1165" i="13"/>
  <c r="H1164" i="13"/>
  <c r="H1166" i="13"/>
  <c r="H1167" i="13"/>
  <c r="H1168" i="13"/>
  <c r="H1169" i="13"/>
  <c r="H1170" i="13"/>
  <c r="H1171" i="13"/>
  <c r="H1172" i="13"/>
  <c r="H1173" i="13"/>
  <c r="H1174" i="13"/>
  <c r="H1175" i="13"/>
  <c r="H1176" i="13"/>
  <c r="H1177" i="13"/>
  <c r="H1178" i="13"/>
  <c r="H1179" i="13"/>
  <c r="H1180" i="13"/>
  <c r="H1181" i="13"/>
  <c r="H1182" i="13"/>
  <c r="H1183" i="13"/>
  <c r="H1184" i="13"/>
  <c r="H1185" i="13"/>
  <c r="H1186" i="13"/>
  <c r="H1187" i="13"/>
  <c r="H1188" i="13"/>
  <c r="H1189" i="13"/>
  <c r="H1190" i="13"/>
  <c r="H1191" i="13"/>
  <c r="H1192" i="13"/>
  <c r="H1193" i="13"/>
  <c r="H1194" i="13"/>
  <c r="H1195" i="13"/>
  <c r="H1196" i="13"/>
  <c r="H1197" i="13"/>
  <c r="H625" i="13"/>
  <c r="M625" i="13" s="1"/>
  <c r="H624" i="13"/>
  <c r="M624" i="13" s="1"/>
  <c r="H623" i="13"/>
  <c r="M623" i="13" s="1"/>
  <c r="H622" i="13"/>
  <c r="M622" i="13" s="1"/>
  <c r="J618" i="13"/>
  <c r="H626" i="13"/>
  <c r="M626" i="13" s="1"/>
  <c r="H627" i="13"/>
  <c r="M627" i="13" s="1"/>
  <c r="H628" i="13"/>
  <c r="M628" i="13" s="1"/>
  <c r="H629" i="13"/>
  <c r="M629" i="13" s="1"/>
  <c r="H630" i="13"/>
  <c r="M630" i="13" s="1"/>
  <c r="H631" i="13"/>
  <c r="H632" i="13"/>
  <c r="H633" i="13"/>
  <c r="H634" i="13"/>
  <c r="H635" i="13"/>
  <c r="H636" i="13"/>
  <c r="H637" i="13"/>
  <c r="H638" i="13"/>
  <c r="H639" i="13"/>
  <c r="H640" i="13"/>
  <c r="H641" i="13"/>
  <c r="H642" i="13"/>
  <c r="H643" i="13"/>
  <c r="H644" i="13"/>
  <c r="H645" i="13"/>
  <c r="H646" i="13"/>
  <c r="H647" i="13"/>
  <c r="H648" i="13"/>
  <c r="H650" i="13"/>
  <c r="H649" i="13"/>
  <c r="H651" i="13"/>
  <c r="H652" i="13"/>
  <c r="H653" i="13"/>
  <c r="H654" i="13"/>
  <c r="H655" i="13"/>
  <c r="H656" i="13"/>
  <c r="H657" i="13"/>
  <c r="H658" i="13"/>
  <c r="H659" i="13"/>
  <c r="H660" i="13"/>
  <c r="H661" i="13"/>
  <c r="H662" i="13"/>
  <c r="H663" i="13"/>
  <c r="H664" i="13"/>
  <c r="H665" i="13"/>
  <c r="H666" i="13"/>
  <c r="H667" i="13"/>
  <c r="H668" i="13"/>
  <c r="H669" i="13"/>
  <c r="H670" i="13"/>
  <c r="H671" i="13"/>
  <c r="H672" i="13"/>
  <c r="H673" i="13"/>
  <c r="H674" i="13"/>
  <c r="H675" i="13"/>
  <c r="H676" i="13"/>
  <c r="H677" i="13"/>
  <c r="H678" i="13"/>
  <c r="H679" i="13"/>
  <c r="H680" i="13"/>
  <c r="H681" i="13"/>
  <c r="H365" i="13"/>
  <c r="M365" i="13" s="1"/>
  <c r="H364" i="13"/>
  <c r="M364" i="13" s="1"/>
  <c r="H362" i="13"/>
  <c r="M362" i="13" s="1"/>
  <c r="J357" i="13"/>
  <c r="H363" i="13"/>
  <c r="M363" i="13" s="1"/>
  <c r="H361" i="13"/>
  <c r="H366" i="13"/>
  <c r="M366" i="13" s="1"/>
  <c r="H367" i="13"/>
  <c r="M367" i="13" s="1"/>
  <c r="H368" i="13"/>
  <c r="M368" i="13" s="1"/>
  <c r="H369" i="13"/>
  <c r="M369" i="13" s="1"/>
  <c r="H370" i="13"/>
  <c r="M370" i="13" s="1"/>
  <c r="H371" i="13"/>
  <c r="M371" i="13" s="1"/>
  <c r="H372" i="13"/>
  <c r="H373" i="13"/>
  <c r="H374" i="13"/>
  <c r="H375" i="13"/>
  <c r="H376" i="13"/>
  <c r="H377" i="13"/>
  <c r="H378" i="13"/>
  <c r="H379" i="13"/>
  <c r="H380" i="13"/>
  <c r="H381" i="13"/>
  <c r="H382" i="13"/>
  <c r="H383" i="13"/>
  <c r="H384" i="13"/>
  <c r="H385" i="13"/>
  <c r="H386" i="13"/>
  <c r="H387" i="13"/>
  <c r="H388" i="13"/>
  <c r="H389" i="13"/>
  <c r="H390" i="13"/>
  <c r="H391" i="13"/>
  <c r="H392" i="13"/>
  <c r="H393" i="13"/>
  <c r="H394" i="13"/>
  <c r="H395" i="13"/>
  <c r="H396" i="13"/>
  <c r="H397" i="13"/>
  <c r="H398" i="13"/>
  <c r="H399" i="13"/>
  <c r="H400" i="13"/>
  <c r="H401" i="13"/>
  <c r="H402" i="13"/>
  <c r="H403" i="13"/>
  <c r="H404" i="13"/>
  <c r="H405" i="13"/>
  <c r="H406" i="13"/>
  <c r="H407" i="13"/>
  <c r="H408" i="13"/>
  <c r="H409" i="13"/>
  <c r="H410" i="13"/>
  <c r="H411" i="13"/>
  <c r="H412" i="13"/>
  <c r="H414" i="13"/>
  <c r="H413" i="13"/>
  <c r="H415" i="13"/>
  <c r="H416" i="13"/>
  <c r="H417" i="13"/>
  <c r="H418" i="13"/>
  <c r="H419" i="13"/>
  <c r="H420" i="13"/>
  <c r="H974" i="13"/>
  <c r="M974" i="13" s="1"/>
  <c r="P974" i="13" s="1"/>
  <c r="J966" i="13"/>
  <c r="H972" i="13"/>
  <c r="M972" i="13" s="1"/>
  <c r="H971" i="13"/>
  <c r="M971" i="13" s="1"/>
  <c r="H973" i="13"/>
  <c r="H970" i="13"/>
  <c r="H975" i="13"/>
  <c r="M975" i="13" s="1"/>
  <c r="P975" i="13" s="1"/>
  <c r="H976" i="13"/>
  <c r="H977" i="13"/>
  <c r="H978" i="13"/>
  <c r="H979" i="13"/>
  <c r="H980" i="13"/>
  <c r="H981" i="13"/>
  <c r="H982" i="13"/>
  <c r="H983" i="13"/>
  <c r="H984" i="13"/>
  <c r="H985" i="13"/>
  <c r="H986" i="13"/>
  <c r="H987" i="13"/>
  <c r="H988" i="13"/>
  <c r="H989" i="13"/>
  <c r="H990" i="13"/>
  <c r="H991" i="13"/>
  <c r="H992" i="13"/>
  <c r="H993" i="13"/>
  <c r="H994" i="13"/>
  <c r="H995" i="13"/>
  <c r="H996" i="13"/>
  <c r="H997" i="13"/>
  <c r="H998" i="13"/>
  <c r="H999" i="13"/>
  <c r="H1000" i="13"/>
  <c r="H1001" i="13"/>
  <c r="H1002" i="13"/>
  <c r="H1003" i="13"/>
  <c r="H1004" i="13"/>
  <c r="H1005" i="13"/>
  <c r="H1006" i="13"/>
  <c r="H1007" i="13"/>
  <c r="H1008" i="13"/>
  <c r="H1009" i="13"/>
  <c r="H1010" i="13"/>
  <c r="H1011" i="13"/>
  <c r="H1012" i="13"/>
  <c r="H1013" i="13"/>
  <c r="H1014" i="13"/>
  <c r="H1015" i="13"/>
  <c r="H1016" i="13"/>
  <c r="H1017" i="13"/>
  <c r="H1018" i="13"/>
  <c r="H1019" i="13"/>
  <c r="H1020" i="13"/>
  <c r="H1021" i="13"/>
  <c r="H1022" i="13"/>
  <c r="H1024" i="13"/>
  <c r="H1023" i="13"/>
  <c r="H1025" i="13"/>
  <c r="H1026" i="13"/>
  <c r="H1027" i="13"/>
  <c r="H1028" i="13"/>
  <c r="H1029" i="13"/>
  <c r="H798" i="13"/>
  <c r="M798" i="13" s="1"/>
  <c r="H796" i="13"/>
  <c r="H800" i="13"/>
  <c r="M800" i="13" s="1"/>
  <c r="H799" i="13"/>
  <c r="M799" i="13" s="1"/>
  <c r="H797" i="13"/>
  <c r="M797" i="13" s="1"/>
  <c r="J792" i="13"/>
  <c r="H801" i="13"/>
  <c r="M801" i="13" s="1"/>
  <c r="H802" i="13"/>
  <c r="M802" i="13" s="1"/>
  <c r="H803" i="13"/>
  <c r="M803" i="13" s="1"/>
  <c r="H804" i="13"/>
  <c r="H805" i="13"/>
  <c r="H806" i="13"/>
  <c r="H807" i="13"/>
  <c r="H808" i="13"/>
  <c r="H809" i="13"/>
  <c r="H810" i="13"/>
  <c r="H811" i="13"/>
  <c r="H812" i="13"/>
  <c r="H813" i="13"/>
  <c r="H814" i="13"/>
  <c r="H815" i="13"/>
  <c r="H816" i="13"/>
  <c r="H817" i="13"/>
  <c r="H818" i="13"/>
  <c r="H819" i="13"/>
  <c r="H820" i="13"/>
  <c r="H821" i="13"/>
  <c r="H822" i="13"/>
  <c r="H823" i="13"/>
  <c r="H824" i="13"/>
  <c r="H825" i="13"/>
  <c r="H826" i="13"/>
  <c r="H827" i="13"/>
  <c r="H828" i="13"/>
  <c r="H829" i="13"/>
  <c r="H830" i="13"/>
  <c r="H831" i="13"/>
  <c r="H832" i="13"/>
  <c r="H833" i="13"/>
  <c r="H834" i="13"/>
  <c r="H835" i="13"/>
  <c r="H836" i="13"/>
  <c r="H837" i="13"/>
  <c r="H838" i="13"/>
  <c r="H839" i="13"/>
  <c r="H840" i="13"/>
  <c r="H841" i="13"/>
  <c r="H842" i="13"/>
  <c r="H843" i="13"/>
  <c r="H844" i="13"/>
  <c r="H845" i="13"/>
  <c r="H846" i="13"/>
  <c r="H847" i="13"/>
  <c r="H848" i="13"/>
  <c r="H849" i="13"/>
  <c r="H850" i="13"/>
  <c r="H851" i="13"/>
  <c r="H852" i="13"/>
  <c r="H853" i="13"/>
  <c r="H854" i="13"/>
  <c r="H855" i="13"/>
  <c r="H187" i="13"/>
  <c r="M187" i="13" s="1"/>
  <c r="H190" i="13"/>
  <c r="M190" i="13" s="1"/>
  <c r="H191" i="13"/>
  <c r="M191" i="13" s="1"/>
  <c r="H188" i="13"/>
  <c r="M188" i="13" s="1"/>
  <c r="J183" i="13"/>
  <c r="H189" i="13"/>
  <c r="M189" i="13" s="1"/>
  <c r="H192" i="13"/>
  <c r="M192" i="13" s="1"/>
  <c r="H193" i="13"/>
  <c r="M193" i="13" s="1"/>
  <c r="H194" i="13"/>
  <c r="M194" i="13" s="1"/>
  <c r="H195" i="13"/>
  <c r="M195" i="13" s="1"/>
  <c r="H196" i="13"/>
  <c r="M196" i="13" s="1"/>
  <c r="H197" i="13"/>
  <c r="M197" i="13" s="1"/>
  <c r="H198" i="13"/>
  <c r="M198" i="13" s="1"/>
  <c r="H199" i="13"/>
  <c r="H200" i="13"/>
  <c r="H201" i="13"/>
  <c r="H202" i="13"/>
  <c r="H203" i="13"/>
  <c r="H204" i="13"/>
  <c r="H205" i="13"/>
  <c r="H206" i="13"/>
  <c r="H207" i="13"/>
  <c r="H208" i="13"/>
  <c r="H209" i="13"/>
  <c r="H210" i="13"/>
  <c r="H211" i="13"/>
  <c r="H212" i="13"/>
  <c r="H213" i="13"/>
  <c r="H214" i="13"/>
  <c r="H215" i="13"/>
  <c r="H216" i="13"/>
  <c r="H217" i="13"/>
  <c r="H218" i="13"/>
  <c r="H219" i="13"/>
  <c r="H220" i="13"/>
  <c r="H221" i="13"/>
  <c r="H222" i="13"/>
  <c r="H223" i="13"/>
  <c r="H224" i="13"/>
  <c r="H225" i="13"/>
  <c r="H226" i="13"/>
  <c r="H227" i="13"/>
  <c r="H228" i="13"/>
  <c r="H229" i="13"/>
  <c r="H230" i="13"/>
  <c r="H231" i="13"/>
  <c r="H232" i="13"/>
  <c r="H233" i="13"/>
  <c r="H234" i="13"/>
  <c r="H235" i="13"/>
  <c r="H236" i="13"/>
  <c r="H237" i="13"/>
  <c r="H238" i="13"/>
  <c r="H239" i="13"/>
  <c r="H240" i="13"/>
  <c r="H241" i="13"/>
  <c r="H242" i="13"/>
  <c r="H243" i="13"/>
  <c r="H244" i="13"/>
  <c r="H245" i="13"/>
  <c r="H246" i="13"/>
  <c r="J444" i="13"/>
  <c r="H450" i="13"/>
  <c r="M450" i="13" s="1"/>
  <c r="H448" i="13"/>
  <c r="M448" i="13" s="1"/>
  <c r="H452" i="13"/>
  <c r="M452" i="13" s="1"/>
  <c r="H449" i="13"/>
  <c r="M449" i="13" s="1"/>
  <c r="H451" i="13"/>
  <c r="M451" i="13" s="1"/>
  <c r="H453" i="13"/>
  <c r="M453" i="13" s="1"/>
  <c r="H454" i="13"/>
  <c r="M454" i="13" s="1"/>
  <c r="H455" i="13"/>
  <c r="M455" i="13" s="1"/>
  <c r="H456" i="13"/>
  <c r="M456" i="13" s="1"/>
  <c r="H457" i="13"/>
  <c r="H458" i="13"/>
  <c r="H459" i="13"/>
  <c r="H460" i="13"/>
  <c r="H461" i="13"/>
  <c r="H462" i="13"/>
  <c r="H463" i="13"/>
  <c r="H464" i="13"/>
  <c r="H465" i="13"/>
  <c r="H466" i="13"/>
  <c r="H467" i="13"/>
  <c r="H468" i="13"/>
  <c r="H469" i="13"/>
  <c r="H470" i="13"/>
  <c r="H471" i="13"/>
  <c r="H472" i="13"/>
  <c r="H473" i="13"/>
  <c r="H474" i="13"/>
  <c r="H475" i="13"/>
  <c r="H476" i="13"/>
  <c r="H477" i="13"/>
  <c r="H478" i="13"/>
  <c r="H479" i="13"/>
  <c r="H480" i="13"/>
  <c r="H481" i="13"/>
  <c r="H482" i="13"/>
  <c r="H483" i="13"/>
  <c r="H484" i="13"/>
  <c r="H485" i="13"/>
  <c r="H486" i="13"/>
  <c r="H487" i="13"/>
  <c r="H488" i="13"/>
  <c r="H489" i="13"/>
  <c r="H490" i="13"/>
  <c r="H491" i="13"/>
  <c r="H492" i="13"/>
  <c r="H493" i="13"/>
  <c r="H494" i="13"/>
  <c r="H495" i="13"/>
  <c r="H496" i="13"/>
  <c r="H497" i="13"/>
  <c r="H498" i="13"/>
  <c r="H499" i="13"/>
  <c r="H500" i="13"/>
  <c r="H501" i="13"/>
  <c r="H502" i="13"/>
  <c r="H503" i="13"/>
  <c r="H504" i="13"/>
  <c r="H505" i="13"/>
  <c r="H506" i="13"/>
  <c r="H507" i="13"/>
  <c r="J531" i="13"/>
  <c r="H538" i="13"/>
  <c r="M538" i="13" s="1"/>
  <c r="H539" i="13"/>
  <c r="M539" i="13" s="1"/>
  <c r="H535" i="13"/>
  <c r="M535" i="13" s="1"/>
  <c r="H536" i="13"/>
  <c r="M536" i="13" s="1"/>
  <c r="H537" i="13"/>
  <c r="M537" i="13" s="1"/>
  <c r="H540" i="13"/>
  <c r="M540" i="13" s="1"/>
  <c r="H541" i="13"/>
  <c r="M541" i="13" s="1"/>
  <c r="H542" i="13"/>
  <c r="M542" i="13" s="1"/>
  <c r="H543" i="13"/>
  <c r="M543" i="13" s="1"/>
  <c r="H544" i="13"/>
  <c r="H545" i="13"/>
  <c r="H546" i="13"/>
  <c r="H547" i="13"/>
  <c r="H548" i="13"/>
  <c r="H549" i="13"/>
  <c r="H550" i="13"/>
  <c r="H551" i="13"/>
  <c r="H552" i="13"/>
  <c r="H553" i="13"/>
  <c r="H554" i="13"/>
  <c r="H555" i="13"/>
  <c r="H556" i="13"/>
  <c r="H557" i="13"/>
  <c r="H558" i="13"/>
  <c r="H559" i="13"/>
  <c r="H560" i="13"/>
  <c r="H561" i="13"/>
  <c r="H562" i="13"/>
  <c r="H563" i="13"/>
  <c r="H564" i="13"/>
  <c r="H565" i="13"/>
  <c r="H566" i="13"/>
  <c r="H567" i="13"/>
  <c r="H568" i="13"/>
  <c r="H569" i="13"/>
  <c r="H570" i="13"/>
  <c r="H571" i="13"/>
  <c r="H572" i="13"/>
  <c r="H573" i="13"/>
  <c r="H574" i="13"/>
  <c r="H575" i="13"/>
  <c r="H576" i="13"/>
  <c r="H577" i="13"/>
  <c r="H578" i="13"/>
  <c r="H579" i="13"/>
  <c r="H580" i="13"/>
  <c r="H581" i="13"/>
  <c r="H582" i="13"/>
  <c r="H583" i="13"/>
  <c r="H585" i="13"/>
  <c r="H584" i="13"/>
  <c r="H586" i="13"/>
  <c r="H587" i="13"/>
  <c r="H588" i="13"/>
  <c r="H589" i="13"/>
  <c r="H590" i="13"/>
  <c r="H591" i="13"/>
  <c r="H592" i="13"/>
  <c r="H593" i="13"/>
  <c r="H594" i="13"/>
  <c r="H274" i="13"/>
  <c r="M274" i="13" s="1"/>
  <c r="H275" i="13"/>
  <c r="M275" i="13" s="1"/>
  <c r="H278" i="13"/>
  <c r="M278" i="13" s="1"/>
  <c r="H277" i="13"/>
  <c r="M277" i="13" s="1"/>
  <c r="J270" i="13"/>
  <c r="H276" i="13"/>
  <c r="M276" i="13" s="1"/>
  <c r="H279" i="13"/>
  <c r="M279" i="13" s="1"/>
  <c r="H280" i="13"/>
  <c r="M280" i="13" s="1"/>
  <c r="H281" i="13"/>
  <c r="M281" i="13" s="1"/>
  <c r="H282" i="13"/>
  <c r="M282" i="13" s="1"/>
  <c r="H283" i="13"/>
  <c r="M283" i="13" s="1"/>
  <c r="H284" i="13"/>
  <c r="M284" i="13" s="1"/>
  <c r="H285" i="13"/>
  <c r="M285" i="13" s="1"/>
  <c r="H286" i="13"/>
  <c r="H287" i="13"/>
  <c r="H288" i="13"/>
  <c r="H290" i="13"/>
  <c r="H289" i="13"/>
  <c r="H291" i="13"/>
  <c r="H292" i="13"/>
  <c r="H293" i="13"/>
  <c r="H294" i="13"/>
  <c r="H295" i="13"/>
  <c r="H296" i="13"/>
  <c r="H297" i="13"/>
  <c r="H298" i="13"/>
  <c r="H299" i="13"/>
  <c r="H300" i="13"/>
  <c r="H301" i="13"/>
  <c r="H302" i="13"/>
  <c r="H303" i="13"/>
  <c r="H304" i="13"/>
  <c r="H305" i="13"/>
  <c r="H306" i="13"/>
  <c r="H307" i="13"/>
  <c r="H308" i="13"/>
  <c r="H309" i="13"/>
  <c r="H310" i="13"/>
  <c r="H311" i="13"/>
  <c r="H312" i="13"/>
  <c r="H313" i="13"/>
  <c r="H314" i="13"/>
  <c r="H315" i="13"/>
  <c r="H316" i="13"/>
  <c r="H317" i="13"/>
  <c r="H318" i="13"/>
  <c r="H319" i="13"/>
  <c r="H320" i="13"/>
  <c r="H321" i="13"/>
  <c r="H322" i="13"/>
  <c r="H323" i="13"/>
  <c r="H324" i="13"/>
  <c r="H325" i="13"/>
  <c r="H326" i="13"/>
  <c r="H327" i="13"/>
  <c r="H328" i="13"/>
  <c r="H329" i="13"/>
  <c r="H330" i="13"/>
  <c r="H331" i="13"/>
  <c r="H332" i="13"/>
  <c r="H333" i="13"/>
  <c r="H1057" i="13"/>
  <c r="H1054" i="13"/>
  <c r="M1054" i="13" s="1"/>
  <c r="H1056" i="13"/>
  <c r="J1050" i="13"/>
  <c r="H1058" i="13"/>
  <c r="H1055" i="13"/>
  <c r="H1059" i="13"/>
  <c r="H1060" i="13"/>
  <c r="H1061" i="13"/>
  <c r="H1062" i="13"/>
  <c r="H1063" i="13"/>
  <c r="H1064" i="13"/>
  <c r="H1065" i="13"/>
  <c r="H1066" i="13"/>
  <c r="H1067" i="13"/>
  <c r="H1068" i="13"/>
  <c r="H1069" i="13"/>
  <c r="H1070" i="13"/>
  <c r="H1071" i="13"/>
  <c r="H1072" i="13"/>
  <c r="H1073" i="13"/>
  <c r="H1074" i="13"/>
  <c r="H1075" i="13"/>
  <c r="H1076" i="13"/>
  <c r="H1077" i="13"/>
  <c r="H1078" i="13"/>
  <c r="H1079" i="13"/>
  <c r="H1080" i="13"/>
  <c r="H1081" i="13"/>
  <c r="H1082" i="13"/>
  <c r="H1083" i="13"/>
  <c r="H1084" i="13"/>
  <c r="H1085" i="13"/>
  <c r="H1086" i="13"/>
  <c r="H1087" i="13"/>
  <c r="H1088" i="13"/>
  <c r="H1089" i="13"/>
  <c r="H1090" i="13"/>
  <c r="H1091" i="13"/>
  <c r="H1092" i="13"/>
  <c r="H1093" i="13"/>
  <c r="H1094" i="13"/>
  <c r="H1095" i="13"/>
  <c r="H1096" i="13"/>
  <c r="H1097" i="13"/>
  <c r="H1098" i="13"/>
  <c r="H1099" i="13"/>
  <c r="H1100" i="13"/>
  <c r="H1101" i="13"/>
  <c r="H1102" i="13"/>
  <c r="H1103" i="13"/>
  <c r="H1104" i="13"/>
  <c r="H1105" i="13"/>
  <c r="H1106" i="13"/>
  <c r="H1107" i="13"/>
  <c r="H1108" i="13"/>
  <c r="H1109" i="13"/>
  <c r="H1110" i="13"/>
  <c r="H1111" i="13"/>
  <c r="H1112" i="13"/>
  <c r="H1113" i="13"/>
  <c r="H883" i="13"/>
  <c r="H885" i="13"/>
  <c r="H886" i="13"/>
  <c r="M886" i="13" s="1"/>
  <c r="H887" i="13"/>
  <c r="M887" i="13" s="1"/>
  <c r="H884" i="13"/>
  <c r="J879" i="13"/>
  <c r="H888" i="13"/>
  <c r="M888" i="13" s="1"/>
  <c r="H889" i="13"/>
  <c r="M889" i="13" s="1"/>
  <c r="H890" i="13"/>
  <c r="M890" i="13" s="1"/>
  <c r="H891" i="13"/>
  <c r="M891" i="13" s="1"/>
  <c r="H892" i="13"/>
  <c r="H893" i="13"/>
  <c r="H894" i="13"/>
  <c r="H895" i="13"/>
  <c r="H896" i="13"/>
  <c r="H897" i="13"/>
  <c r="H898" i="13"/>
  <c r="H899" i="13"/>
  <c r="H900" i="13"/>
  <c r="H901" i="13"/>
  <c r="H902" i="13"/>
  <c r="H903" i="13"/>
  <c r="H904" i="13"/>
  <c r="H905" i="13"/>
  <c r="H906" i="13"/>
  <c r="H907" i="13"/>
  <c r="H908" i="13"/>
  <c r="H909" i="13"/>
  <c r="H910" i="13"/>
  <c r="H911" i="13"/>
  <c r="H912" i="13"/>
  <c r="H913" i="13"/>
  <c r="H914" i="13"/>
  <c r="H915" i="13"/>
  <c r="H916" i="13"/>
  <c r="H917" i="13"/>
  <c r="H918" i="13"/>
  <c r="H919" i="13"/>
  <c r="H920" i="13"/>
  <c r="H921" i="13"/>
  <c r="H922" i="13"/>
  <c r="H923" i="13"/>
  <c r="H924" i="13"/>
  <c r="H925" i="13"/>
  <c r="H926" i="13"/>
  <c r="H927" i="13"/>
  <c r="H928" i="13"/>
  <c r="H929" i="13"/>
  <c r="H930" i="13"/>
  <c r="H931" i="13"/>
  <c r="H932" i="13"/>
  <c r="H933" i="13"/>
  <c r="H934" i="13"/>
  <c r="H935" i="13"/>
  <c r="H936" i="13"/>
  <c r="H937" i="13"/>
  <c r="H938" i="13"/>
  <c r="H939" i="13"/>
  <c r="H940" i="13"/>
  <c r="H941" i="13"/>
  <c r="H942" i="13"/>
  <c r="M892" i="13" l="1"/>
  <c r="M872" i="13"/>
  <c r="M873" i="13" s="1"/>
  <c r="H1198" i="13"/>
  <c r="M113" i="13"/>
  <c r="M89" i="13"/>
  <c r="H160" i="13"/>
  <c r="G608" i="20"/>
  <c r="H421" i="13"/>
  <c r="I712" i="13"/>
  <c r="I710" i="13"/>
  <c r="I711" i="13"/>
  <c r="I714" i="13"/>
  <c r="I713" i="13"/>
  <c r="I709" i="13"/>
  <c r="I715" i="13"/>
  <c r="I716" i="13"/>
  <c r="I717" i="13"/>
  <c r="I718" i="13"/>
  <c r="I719" i="13"/>
  <c r="J719" i="13" s="1"/>
  <c r="I720" i="13"/>
  <c r="J720" i="13" s="1"/>
  <c r="I721" i="13"/>
  <c r="J721" i="13" s="1"/>
  <c r="I722" i="13"/>
  <c r="J722" i="13" s="1"/>
  <c r="I723" i="13"/>
  <c r="J723" i="13" s="1"/>
  <c r="I724" i="13"/>
  <c r="J724" i="13" s="1"/>
  <c r="I725" i="13"/>
  <c r="J725" i="13" s="1"/>
  <c r="I726" i="13"/>
  <c r="J726" i="13" s="1"/>
  <c r="I727" i="13"/>
  <c r="J727" i="13" s="1"/>
  <c r="I728" i="13"/>
  <c r="J728" i="13" s="1"/>
  <c r="I729" i="13"/>
  <c r="J729" i="13" s="1"/>
  <c r="I730" i="13"/>
  <c r="J730" i="13" s="1"/>
  <c r="I731" i="13"/>
  <c r="J731" i="13" s="1"/>
  <c r="I732" i="13"/>
  <c r="J732" i="13" s="1"/>
  <c r="I733" i="13"/>
  <c r="J733" i="13" s="1"/>
  <c r="I734" i="13"/>
  <c r="J734" i="13" s="1"/>
  <c r="I735" i="13"/>
  <c r="J735" i="13" s="1"/>
  <c r="I736" i="13"/>
  <c r="J736" i="13" s="1"/>
  <c r="I737" i="13"/>
  <c r="J737" i="13" s="1"/>
  <c r="I738" i="13"/>
  <c r="J738" i="13" s="1"/>
  <c r="I739" i="13"/>
  <c r="J739" i="13" s="1"/>
  <c r="I740" i="13"/>
  <c r="J740" i="13" s="1"/>
  <c r="I741" i="13"/>
  <c r="J741" i="13" s="1"/>
  <c r="I742" i="13"/>
  <c r="J742" i="13" s="1"/>
  <c r="I743" i="13"/>
  <c r="J743" i="13" s="1"/>
  <c r="I744" i="13"/>
  <c r="J744" i="13" s="1"/>
  <c r="I745" i="13"/>
  <c r="J745" i="13" s="1"/>
  <c r="I746" i="13"/>
  <c r="J746" i="13" s="1"/>
  <c r="I747" i="13"/>
  <c r="J747" i="13" s="1"/>
  <c r="I748" i="13"/>
  <c r="J748" i="13" s="1"/>
  <c r="I749" i="13"/>
  <c r="J749" i="13" s="1"/>
  <c r="I750" i="13"/>
  <c r="J750" i="13" s="1"/>
  <c r="I751" i="13"/>
  <c r="J751" i="13" s="1"/>
  <c r="I752" i="13"/>
  <c r="J752" i="13" s="1"/>
  <c r="I753" i="13"/>
  <c r="J753" i="13" s="1"/>
  <c r="I754" i="13"/>
  <c r="J754" i="13" s="1"/>
  <c r="I755" i="13"/>
  <c r="J755" i="13" s="1"/>
  <c r="I756" i="13"/>
  <c r="J756" i="13" s="1"/>
  <c r="I757" i="13"/>
  <c r="J757" i="13" s="1"/>
  <c r="I758" i="13"/>
  <c r="J758" i="13" s="1"/>
  <c r="I759" i="13"/>
  <c r="J759" i="13" s="1"/>
  <c r="I760" i="13"/>
  <c r="J760" i="13" s="1"/>
  <c r="I761" i="13"/>
  <c r="J761" i="13" s="1"/>
  <c r="I762" i="13"/>
  <c r="J762" i="13" s="1"/>
  <c r="I763" i="13"/>
  <c r="J763" i="13" s="1"/>
  <c r="I764" i="13"/>
  <c r="J764" i="13" s="1"/>
  <c r="I765" i="13"/>
  <c r="J765" i="13" s="1"/>
  <c r="I766" i="13"/>
  <c r="J766" i="13" s="1"/>
  <c r="I767" i="13"/>
  <c r="J767" i="13" s="1"/>
  <c r="I768" i="13"/>
  <c r="J768" i="13" s="1"/>
  <c r="G966" i="20"/>
  <c r="I451" i="13"/>
  <c r="I449" i="13"/>
  <c r="I448" i="13"/>
  <c r="I450" i="13"/>
  <c r="I452" i="13"/>
  <c r="I453" i="13"/>
  <c r="I454" i="13"/>
  <c r="I455" i="13"/>
  <c r="I456" i="13"/>
  <c r="I457" i="13"/>
  <c r="I458" i="13"/>
  <c r="J458" i="13" s="1"/>
  <c r="I459" i="13"/>
  <c r="J459" i="13" s="1"/>
  <c r="I460" i="13"/>
  <c r="J460" i="13" s="1"/>
  <c r="I461" i="13"/>
  <c r="J461" i="13" s="1"/>
  <c r="I462" i="13"/>
  <c r="J462" i="13" s="1"/>
  <c r="I463" i="13"/>
  <c r="J463" i="13" s="1"/>
  <c r="I464" i="13"/>
  <c r="J464" i="13" s="1"/>
  <c r="I465" i="13"/>
  <c r="J465" i="13" s="1"/>
  <c r="I466" i="13"/>
  <c r="J466" i="13" s="1"/>
  <c r="I467" i="13"/>
  <c r="J467" i="13" s="1"/>
  <c r="I468" i="13"/>
  <c r="J468" i="13" s="1"/>
  <c r="I469" i="13"/>
  <c r="J469" i="13" s="1"/>
  <c r="I470" i="13"/>
  <c r="J470" i="13" s="1"/>
  <c r="I471" i="13"/>
  <c r="J471" i="13" s="1"/>
  <c r="I472" i="13"/>
  <c r="J472" i="13" s="1"/>
  <c r="I473" i="13"/>
  <c r="J473" i="13" s="1"/>
  <c r="I474" i="13"/>
  <c r="J474" i="13" s="1"/>
  <c r="I475" i="13"/>
  <c r="J475" i="13" s="1"/>
  <c r="I476" i="13"/>
  <c r="J476" i="13" s="1"/>
  <c r="I477" i="13"/>
  <c r="J477" i="13" s="1"/>
  <c r="I478" i="13"/>
  <c r="J478" i="13" s="1"/>
  <c r="I479" i="13"/>
  <c r="J479" i="13" s="1"/>
  <c r="I480" i="13"/>
  <c r="J480" i="13" s="1"/>
  <c r="I481" i="13"/>
  <c r="J481" i="13" s="1"/>
  <c r="I482" i="13"/>
  <c r="J482" i="13" s="1"/>
  <c r="I483" i="13"/>
  <c r="J483" i="13" s="1"/>
  <c r="I484" i="13"/>
  <c r="J484" i="13" s="1"/>
  <c r="I485" i="13"/>
  <c r="J485" i="13" s="1"/>
  <c r="I486" i="13"/>
  <c r="J486" i="13" s="1"/>
  <c r="I487" i="13"/>
  <c r="J487" i="13" s="1"/>
  <c r="I488" i="13"/>
  <c r="J488" i="13" s="1"/>
  <c r="I489" i="13"/>
  <c r="J489" i="13" s="1"/>
  <c r="I490" i="13"/>
  <c r="J490" i="13" s="1"/>
  <c r="I491" i="13"/>
  <c r="J491" i="13" s="1"/>
  <c r="I492" i="13"/>
  <c r="J492" i="13" s="1"/>
  <c r="I493" i="13"/>
  <c r="I494" i="13"/>
  <c r="I495" i="13"/>
  <c r="J495" i="13" s="1"/>
  <c r="I496" i="13"/>
  <c r="J496" i="13" s="1"/>
  <c r="I497" i="13"/>
  <c r="J497" i="13" s="1"/>
  <c r="I498" i="13"/>
  <c r="J498" i="13" s="1"/>
  <c r="I499" i="13"/>
  <c r="J499" i="13" s="1"/>
  <c r="I500" i="13"/>
  <c r="J500" i="13" s="1"/>
  <c r="I501" i="13"/>
  <c r="J501" i="13" s="1"/>
  <c r="I502" i="13"/>
  <c r="J502" i="13" s="1"/>
  <c r="I503" i="13"/>
  <c r="J503" i="13" s="1"/>
  <c r="I504" i="13"/>
  <c r="J504" i="13" s="1"/>
  <c r="I505" i="13"/>
  <c r="J505" i="13" s="1"/>
  <c r="I506" i="13"/>
  <c r="J506" i="13" s="1"/>
  <c r="I507" i="13"/>
  <c r="J507" i="13" s="1"/>
  <c r="I883" i="13"/>
  <c r="I885" i="13"/>
  <c r="J885" i="13" s="1"/>
  <c r="I886" i="13"/>
  <c r="I888" i="13"/>
  <c r="I884" i="13"/>
  <c r="J884" i="13" s="1"/>
  <c r="I887" i="13"/>
  <c r="I889" i="13"/>
  <c r="I890" i="13"/>
  <c r="I891" i="13"/>
  <c r="I892" i="13"/>
  <c r="I893" i="13"/>
  <c r="J893" i="13" s="1"/>
  <c r="I894" i="13"/>
  <c r="J894" i="13" s="1"/>
  <c r="I895" i="13"/>
  <c r="J895" i="13" s="1"/>
  <c r="I896" i="13"/>
  <c r="J896" i="13" s="1"/>
  <c r="I897" i="13"/>
  <c r="J897" i="13" s="1"/>
  <c r="I898" i="13"/>
  <c r="J898" i="13" s="1"/>
  <c r="I899" i="13"/>
  <c r="J899" i="13" s="1"/>
  <c r="I900" i="13"/>
  <c r="J900" i="13" s="1"/>
  <c r="I901" i="13"/>
  <c r="J901" i="13" s="1"/>
  <c r="I902" i="13"/>
  <c r="J902" i="13" s="1"/>
  <c r="I903" i="13"/>
  <c r="J903" i="13" s="1"/>
  <c r="I904" i="13"/>
  <c r="J904" i="13" s="1"/>
  <c r="I905" i="13"/>
  <c r="J905" i="13" s="1"/>
  <c r="I906" i="13"/>
  <c r="J906" i="13" s="1"/>
  <c r="I907" i="13"/>
  <c r="J907" i="13" s="1"/>
  <c r="I908" i="13"/>
  <c r="I909" i="13"/>
  <c r="J909" i="13" s="1"/>
  <c r="I910" i="13"/>
  <c r="J910" i="13" s="1"/>
  <c r="I911" i="13"/>
  <c r="J911" i="13" s="1"/>
  <c r="I912" i="13"/>
  <c r="J912" i="13" s="1"/>
  <c r="I913" i="13"/>
  <c r="J913" i="13" s="1"/>
  <c r="I914" i="13"/>
  <c r="J914" i="13" s="1"/>
  <c r="I915" i="13"/>
  <c r="J915" i="13" s="1"/>
  <c r="I916" i="13"/>
  <c r="J916" i="13" s="1"/>
  <c r="I917" i="13"/>
  <c r="J917" i="13" s="1"/>
  <c r="I918" i="13"/>
  <c r="J918" i="13" s="1"/>
  <c r="I919" i="13"/>
  <c r="J919" i="13" s="1"/>
  <c r="I920" i="13"/>
  <c r="J920" i="13" s="1"/>
  <c r="I921" i="13"/>
  <c r="J921" i="13" s="1"/>
  <c r="I922" i="13"/>
  <c r="J922" i="13" s="1"/>
  <c r="I923" i="13"/>
  <c r="J923" i="13" s="1"/>
  <c r="I924" i="13"/>
  <c r="J924" i="13" s="1"/>
  <c r="I925" i="13"/>
  <c r="J925" i="13" s="1"/>
  <c r="I926" i="13"/>
  <c r="J926" i="13" s="1"/>
  <c r="I927" i="13"/>
  <c r="J927" i="13" s="1"/>
  <c r="I928" i="13"/>
  <c r="J928" i="13" s="1"/>
  <c r="I929" i="13"/>
  <c r="J929" i="13" s="1"/>
  <c r="I930" i="13"/>
  <c r="J930" i="13" s="1"/>
  <c r="I931" i="13"/>
  <c r="J931" i="13" s="1"/>
  <c r="I932" i="13"/>
  <c r="J932" i="13" s="1"/>
  <c r="I933" i="13"/>
  <c r="J933" i="13" s="1"/>
  <c r="I934" i="13"/>
  <c r="J934" i="13" s="1"/>
  <c r="I935" i="13"/>
  <c r="J935" i="13" s="1"/>
  <c r="I937" i="13"/>
  <c r="J937" i="13" s="1"/>
  <c r="I936" i="13"/>
  <c r="J936" i="13" s="1"/>
  <c r="I938" i="13"/>
  <c r="J938" i="13" s="1"/>
  <c r="I939" i="13"/>
  <c r="I940" i="13"/>
  <c r="J940" i="13" s="1"/>
  <c r="I941" i="13"/>
  <c r="J941" i="13" s="1"/>
  <c r="I942" i="13"/>
  <c r="J942" i="13" s="1"/>
  <c r="I366" i="13"/>
  <c r="I365" i="13"/>
  <c r="I361" i="13"/>
  <c r="I364" i="13"/>
  <c r="I363" i="13"/>
  <c r="I362" i="13"/>
  <c r="I367" i="13"/>
  <c r="I368" i="13"/>
  <c r="I369" i="13"/>
  <c r="I370" i="13"/>
  <c r="I371" i="13"/>
  <c r="I372" i="13"/>
  <c r="I373" i="13"/>
  <c r="J373" i="13" s="1"/>
  <c r="I374" i="13"/>
  <c r="J374" i="13" s="1"/>
  <c r="I375" i="13"/>
  <c r="J375" i="13" s="1"/>
  <c r="I376" i="13"/>
  <c r="J376" i="13" s="1"/>
  <c r="I377" i="13"/>
  <c r="J377" i="13" s="1"/>
  <c r="I378" i="13"/>
  <c r="J378" i="13" s="1"/>
  <c r="I379" i="13"/>
  <c r="J379" i="13" s="1"/>
  <c r="I380" i="13"/>
  <c r="J380" i="13" s="1"/>
  <c r="I381" i="13"/>
  <c r="J381" i="13" s="1"/>
  <c r="I382" i="13"/>
  <c r="J382" i="13" s="1"/>
  <c r="I383" i="13"/>
  <c r="J383" i="13" s="1"/>
  <c r="I384" i="13"/>
  <c r="J384" i="13" s="1"/>
  <c r="I385" i="13"/>
  <c r="J385" i="13" s="1"/>
  <c r="I386" i="13"/>
  <c r="J386" i="13" s="1"/>
  <c r="I387" i="13"/>
  <c r="I388" i="13"/>
  <c r="J388" i="13" s="1"/>
  <c r="I389" i="13"/>
  <c r="J389" i="13" s="1"/>
  <c r="I390" i="13"/>
  <c r="J390" i="13" s="1"/>
  <c r="I391" i="13"/>
  <c r="J391" i="13" s="1"/>
  <c r="I392" i="13"/>
  <c r="J392" i="13" s="1"/>
  <c r="I393" i="13"/>
  <c r="J393" i="13" s="1"/>
  <c r="I394" i="13"/>
  <c r="J394" i="13" s="1"/>
  <c r="I395" i="13"/>
  <c r="J395" i="13" s="1"/>
  <c r="I396" i="13"/>
  <c r="J396" i="13" s="1"/>
  <c r="I397" i="13"/>
  <c r="J397" i="13" s="1"/>
  <c r="I398" i="13"/>
  <c r="J398" i="13" s="1"/>
  <c r="I399" i="13"/>
  <c r="J399" i="13" s="1"/>
  <c r="I400" i="13"/>
  <c r="J400" i="13" s="1"/>
  <c r="I401" i="13"/>
  <c r="J401" i="13" s="1"/>
  <c r="I402" i="13"/>
  <c r="J402" i="13" s="1"/>
  <c r="I403" i="13"/>
  <c r="J403" i="13" s="1"/>
  <c r="I404" i="13"/>
  <c r="J404" i="13" s="1"/>
  <c r="I405" i="13"/>
  <c r="J405" i="13" s="1"/>
  <c r="I406" i="13"/>
  <c r="J406" i="13" s="1"/>
  <c r="I407" i="13"/>
  <c r="J407" i="13" s="1"/>
  <c r="I408" i="13"/>
  <c r="J408" i="13" s="1"/>
  <c r="I409" i="13"/>
  <c r="J409" i="13" s="1"/>
  <c r="I410" i="13"/>
  <c r="J410" i="13" s="1"/>
  <c r="I411" i="13"/>
  <c r="J411" i="13" s="1"/>
  <c r="I412" i="13"/>
  <c r="J412" i="13" s="1"/>
  <c r="I413" i="13"/>
  <c r="J413" i="13" s="1"/>
  <c r="I414" i="13"/>
  <c r="J414" i="13" s="1"/>
  <c r="I415" i="13"/>
  <c r="J415" i="13" s="1"/>
  <c r="I416" i="13"/>
  <c r="J416" i="13" s="1"/>
  <c r="I417" i="13"/>
  <c r="J417" i="13" s="1"/>
  <c r="I418" i="13"/>
  <c r="J418" i="13" s="1"/>
  <c r="I419" i="13"/>
  <c r="J419" i="13" s="1"/>
  <c r="I420" i="13"/>
  <c r="J420" i="13" s="1"/>
  <c r="H769" i="13"/>
  <c r="G697" i="20"/>
  <c r="G519" i="20"/>
  <c r="H840" i="20"/>
  <c r="I840" i="20" s="1"/>
  <c r="H590" i="20"/>
  <c r="I590" i="20" s="1"/>
  <c r="H772" i="20"/>
  <c r="I772" i="20" s="1"/>
  <c r="H377" i="20"/>
  <c r="I377" i="20" s="1"/>
  <c r="H833" i="20"/>
  <c r="I833" i="20" s="1"/>
  <c r="H222" i="20"/>
  <c r="I222" i="20" s="1"/>
  <c r="H571" i="20"/>
  <c r="I571" i="20" s="1"/>
  <c r="H785" i="20"/>
  <c r="I785" i="20" s="1"/>
  <c r="H141" i="20"/>
  <c r="I141" i="20" s="1"/>
  <c r="H778" i="20"/>
  <c r="I778" i="20" s="1"/>
  <c r="H755" i="20"/>
  <c r="I755" i="20" s="1"/>
  <c r="H134" i="20"/>
  <c r="I134" i="20" s="1"/>
  <c r="H292" i="20"/>
  <c r="H662" i="20"/>
  <c r="I662" i="20" s="1"/>
  <c r="H694" i="20"/>
  <c r="I694" i="20" s="1"/>
  <c r="H472" i="20"/>
  <c r="I472" i="20" s="1"/>
  <c r="H104" i="20"/>
  <c r="I104" i="20" s="1"/>
  <c r="H412" i="20"/>
  <c r="I412" i="20" s="1"/>
  <c r="H107" i="20"/>
  <c r="I107" i="20" s="1"/>
  <c r="H197" i="20"/>
  <c r="I197" i="20" s="1"/>
  <c r="H219" i="20"/>
  <c r="I219" i="20" s="1"/>
  <c r="H338" i="20"/>
  <c r="I338" i="20" s="1"/>
  <c r="H869" i="20"/>
  <c r="I869" i="20" s="1"/>
  <c r="H584" i="20"/>
  <c r="I584" i="20" s="1"/>
  <c r="H108" i="20"/>
  <c r="I108" i="20" s="1"/>
  <c r="H734" i="20"/>
  <c r="I734" i="20" s="1"/>
  <c r="H567" i="20"/>
  <c r="I567" i="20" s="1"/>
  <c r="H948" i="20"/>
  <c r="I948" i="20" s="1"/>
  <c r="H290" i="20"/>
  <c r="I290" i="20" s="1"/>
  <c r="H150" i="20"/>
  <c r="I150" i="20" s="1"/>
  <c r="H228" i="20"/>
  <c r="I228" i="20" s="1"/>
  <c r="H192" i="20"/>
  <c r="I192" i="20" s="1"/>
  <c r="H648" i="20"/>
  <c r="I648" i="20" s="1"/>
  <c r="H223" i="20"/>
  <c r="I223" i="20" s="1"/>
  <c r="H595" i="20"/>
  <c r="I595" i="20" s="1"/>
  <c r="H158" i="20"/>
  <c r="I158" i="20" s="1"/>
  <c r="H602" i="20"/>
  <c r="I602" i="20" s="1"/>
  <c r="H660" i="20"/>
  <c r="I660" i="20" s="1"/>
  <c r="H965" i="20"/>
  <c r="I965" i="20" s="1"/>
  <c r="H418" i="20"/>
  <c r="I418" i="20" s="1"/>
  <c r="H202" i="20"/>
  <c r="I202" i="20" s="1"/>
  <c r="H651" i="20"/>
  <c r="I651" i="20" s="1"/>
  <c r="H931" i="20"/>
  <c r="I931" i="20" s="1"/>
  <c r="H830" i="20"/>
  <c r="I830" i="20" s="1"/>
  <c r="H859" i="20"/>
  <c r="I859" i="20" s="1"/>
  <c r="H480" i="20"/>
  <c r="I480" i="20" s="1"/>
  <c r="H953" i="20"/>
  <c r="I953" i="20" s="1"/>
  <c r="H751" i="20"/>
  <c r="I751" i="20" s="1"/>
  <c r="H406" i="20"/>
  <c r="I406" i="20" s="1"/>
  <c r="H331" i="20"/>
  <c r="I331" i="20" s="1"/>
  <c r="H194" i="20"/>
  <c r="I194" i="20" s="1"/>
  <c r="H241" i="20"/>
  <c r="I241" i="20" s="1"/>
  <c r="H929" i="20"/>
  <c r="I929" i="20" s="1"/>
  <c r="H642" i="20"/>
  <c r="I642" i="20" s="1"/>
  <c r="H374" i="20"/>
  <c r="I374" i="20" s="1"/>
  <c r="H215" i="20"/>
  <c r="I215" i="20" s="1"/>
  <c r="H874" i="20"/>
  <c r="I874" i="20" s="1"/>
  <c r="H597" i="20"/>
  <c r="I597" i="20" s="1"/>
  <c r="H159" i="20"/>
  <c r="I159" i="20" s="1"/>
  <c r="H217" i="20"/>
  <c r="I217" i="20" s="1"/>
  <c r="H552" i="20"/>
  <c r="I552" i="20" s="1"/>
  <c r="H689" i="20"/>
  <c r="I689" i="20" s="1"/>
  <c r="H319" i="20"/>
  <c r="I319" i="20" s="1"/>
  <c r="H562" i="20"/>
  <c r="I562" i="20" s="1"/>
  <c r="H398" i="20"/>
  <c r="I398" i="20" s="1"/>
  <c r="H459" i="20"/>
  <c r="H649" i="20"/>
  <c r="I649" i="20" s="1"/>
  <c r="H224" i="20"/>
  <c r="I224" i="20" s="1"/>
  <c r="H732" i="20"/>
  <c r="I732" i="20" s="1"/>
  <c r="H478" i="20"/>
  <c r="I478" i="20" s="1"/>
  <c r="H518" i="20"/>
  <c r="I518" i="20" s="1"/>
  <c r="H213" i="20"/>
  <c r="I213" i="20" s="1"/>
  <c r="H920" i="20"/>
  <c r="I920" i="20" s="1"/>
  <c r="H212" i="20"/>
  <c r="I212" i="20" s="1"/>
  <c r="H420" i="20"/>
  <c r="I420" i="20" s="1"/>
  <c r="H386" i="20"/>
  <c r="I386" i="20" s="1"/>
  <c r="H461" i="20"/>
  <c r="I461" i="20" s="1"/>
  <c r="H548" i="20"/>
  <c r="H332" i="20"/>
  <c r="I332" i="20" s="1"/>
  <c r="H468" i="20"/>
  <c r="H559" i="20"/>
  <c r="I559" i="20" s="1"/>
  <c r="H140" i="20"/>
  <c r="I140" i="20" s="1"/>
  <c r="H937" i="20"/>
  <c r="I937" i="20" s="1"/>
  <c r="H836" i="20"/>
  <c r="I836" i="20" s="1"/>
  <c r="H315" i="20"/>
  <c r="I315" i="20" s="1"/>
  <c r="H686" i="20"/>
  <c r="I686" i="20" s="1"/>
  <c r="H229" i="20"/>
  <c r="I229" i="20" s="1"/>
  <c r="H247" i="20"/>
  <c r="I247" i="20" s="1"/>
  <c r="H193" i="20"/>
  <c r="I193" i="20" s="1"/>
  <c r="H488" i="20"/>
  <c r="I488" i="20" s="1"/>
  <c r="H208" i="20"/>
  <c r="I208" i="20" s="1"/>
  <c r="H327" i="20"/>
  <c r="I327" i="20" s="1"/>
  <c r="H777" i="20"/>
  <c r="I777" i="20" s="1"/>
  <c r="H911" i="20"/>
  <c r="I911" i="20" s="1"/>
  <c r="H599" i="20"/>
  <c r="I599" i="20" s="1"/>
  <c r="H915" i="20"/>
  <c r="H906" i="20"/>
  <c r="H925" i="20"/>
  <c r="I925" i="20" s="1"/>
  <c r="H591" i="20"/>
  <c r="I591" i="20" s="1"/>
  <c r="H230" i="20"/>
  <c r="I230" i="20" s="1"/>
  <c r="H815" i="20"/>
  <c r="H907" i="20"/>
  <c r="I907" i="20" s="1"/>
  <c r="H843" i="20"/>
  <c r="I843" i="20" s="1"/>
  <c r="H932" i="20"/>
  <c r="I932" i="20" s="1"/>
  <c r="H950" i="20"/>
  <c r="I950" i="20" s="1"/>
  <c r="H919" i="20"/>
  <c r="I919" i="20" s="1"/>
  <c r="H750" i="20"/>
  <c r="I750" i="20" s="1"/>
  <c r="H770" i="20"/>
  <c r="I770" i="20" s="1"/>
  <c r="H735" i="20"/>
  <c r="H680" i="20"/>
  <c r="I680" i="20" s="1"/>
  <c r="H308" i="20"/>
  <c r="I308" i="20" s="1"/>
  <c r="H677" i="20"/>
  <c r="I677" i="20" s="1"/>
  <c r="H487" i="20"/>
  <c r="I487" i="20" s="1"/>
  <c r="H957" i="20"/>
  <c r="I957" i="20" s="1"/>
  <c r="H380" i="20"/>
  <c r="H476" i="20"/>
  <c r="I476" i="20" s="1"/>
  <c r="H850" i="20"/>
  <c r="I850" i="20" s="1"/>
  <c r="H245" i="20"/>
  <c r="I245" i="20" s="1"/>
  <c r="H841" i="20"/>
  <c r="I841" i="20" s="1"/>
  <c r="H661" i="20"/>
  <c r="I661" i="20" s="1"/>
  <c r="H322" i="20"/>
  <c r="I322" i="20" s="1"/>
  <c r="H101" i="20"/>
  <c r="H249" i="20"/>
  <c r="I249" i="20" s="1"/>
  <c r="H113" i="20"/>
  <c r="I113" i="20" s="1"/>
  <c r="H300" i="20"/>
  <c r="I300" i="20" s="1"/>
  <c r="H317" i="20"/>
  <c r="I317" i="20" s="1"/>
  <c r="H242" i="20"/>
  <c r="I242" i="20" s="1"/>
  <c r="H759" i="20"/>
  <c r="I759" i="20" s="1"/>
  <c r="H639" i="20"/>
  <c r="I639" i="20" s="1"/>
  <c r="H666" i="20"/>
  <c r="I666" i="20" s="1"/>
  <c r="H834" i="20"/>
  <c r="I834" i="20" s="1"/>
  <c r="H146" i="20"/>
  <c r="I146" i="20" s="1"/>
  <c r="H500" i="20"/>
  <c r="I500" i="20" s="1"/>
  <c r="H863" i="20"/>
  <c r="I863" i="20" s="1"/>
  <c r="H849" i="20"/>
  <c r="I849" i="20" s="1"/>
  <c r="H128" i="20"/>
  <c r="I128" i="20" s="1"/>
  <c r="H302" i="20"/>
  <c r="I302" i="20" s="1"/>
  <c r="H119" i="20"/>
  <c r="I119" i="20" s="1"/>
  <c r="H826" i="20"/>
  <c r="I826" i="20" s="1"/>
  <c r="H598" i="20"/>
  <c r="I598" i="20" s="1"/>
  <c r="H575" i="20"/>
  <c r="I575" i="20" s="1"/>
  <c r="H641" i="20"/>
  <c r="I641" i="20" s="1"/>
  <c r="H493" i="20"/>
  <c r="I493" i="20" s="1"/>
  <c r="H409" i="20"/>
  <c r="I409" i="20" s="1"/>
  <c r="H515" i="20"/>
  <c r="I515" i="20" s="1"/>
  <c r="H389" i="20"/>
  <c r="I389" i="20" s="1"/>
  <c r="H768" i="20"/>
  <c r="I768" i="20" s="1"/>
  <c r="H371" i="20"/>
  <c r="I371" i="20" s="1"/>
  <c r="H460" i="20"/>
  <c r="I460" i="20" s="1"/>
  <c r="H679" i="20"/>
  <c r="I679" i="20" s="1"/>
  <c r="H676" i="20"/>
  <c r="I676" i="20" s="1"/>
  <c r="H333" i="20"/>
  <c r="I333" i="20" s="1"/>
  <c r="H283" i="20"/>
  <c r="I283" i="20" s="1"/>
  <c r="H738" i="20"/>
  <c r="I738" i="20" s="1"/>
  <c r="H771" i="20"/>
  <c r="I771" i="20" s="1"/>
  <c r="H388" i="20"/>
  <c r="I388" i="20" s="1"/>
  <c r="H838" i="20"/>
  <c r="I838" i="20" s="1"/>
  <c r="H549" i="20"/>
  <c r="I549" i="20" s="1"/>
  <c r="H514" i="20"/>
  <c r="I514" i="20" s="1"/>
  <c r="H758" i="20"/>
  <c r="I758" i="20" s="1"/>
  <c r="H105" i="20"/>
  <c r="I105" i="20" s="1"/>
  <c r="H425" i="20"/>
  <c r="I425" i="20" s="1"/>
  <c r="H306" i="20"/>
  <c r="I306" i="20" s="1"/>
  <c r="H924" i="20"/>
  <c r="I924" i="20" s="1"/>
  <c r="H672" i="20"/>
  <c r="I672" i="20" s="1"/>
  <c r="H295" i="20"/>
  <c r="I295" i="20" s="1"/>
  <c r="H124" i="20"/>
  <c r="I124" i="20" s="1"/>
  <c r="H289" i="20"/>
  <c r="I289" i="20" s="1"/>
  <c r="H415" i="20"/>
  <c r="I415" i="20" s="1"/>
  <c r="H127" i="20"/>
  <c r="I127" i="20" s="1"/>
  <c r="H577" i="20"/>
  <c r="I577" i="20" s="1"/>
  <c r="H855" i="20"/>
  <c r="I855" i="20" s="1"/>
  <c r="H951" i="20"/>
  <c r="I951" i="20" s="1"/>
  <c r="H326" i="20"/>
  <c r="I326" i="20" s="1"/>
  <c r="H653" i="20"/>
  <c r="I653" i="20" s="1"/>
  <c r="H211" i="20"/>
  <c r="I211" i="20" s="1"/>
  <c r="H243" i="20"/>
  <c r="I243" i="20" s="1"/>
  <c r="H382" i="20"/>
  <c r="I382" i="20" s="1"/>
  <c r="H607" i="20"/>
  <c r="I607" i="20" s="1"/>
  <c r="H378" i="20"/>
  <c r="I378" i="20" s="1"/>
  <c r="H744" i="20"/>
  <c r="I744" i="20" s="1"/>
  <c r="H568" i="20"/>
  <c r="I568" i="20" s="1"/>
  <c r="H960" i="20"/>
  <c r="I960" i="20" s="1"/>
  <c r="H819" i="20"/>
  <c r="I819" i="20" s="1"/>
  <c r="H321" i="20"/>
  <c r="I321" i="20" s="1"/>
  <c r="H763" i="20"/>
  <c r="I763" i="20" s="1"/>
  <c r="H860" i="20"/>
  <c r="I860" i="20" s="1"/>
  <c r="H311" i="20"/>
  <c r="I311" i="20" s="1"/>
  <c r="H509" i="20"/>
  <c r="I509" i="20" s="1"/>
  <c r="H839" i="20"/>
  <c r="I839" i="20" s="1"/>
  <c r="H561" i="20"/>
  <c r="I561" i="20" s="1"/>
  <c r="H566" i="20"/>
  <c r="I566" i="20" s="1"/>
  <c r="H417" i="20"/>
  <c r="I417" i="20" s="1"/>
  <c r="H370" i="20"/>
  <c r="I370" i="20" s="1"/>
  <c r="H225" i="20"/>
  <c r="I225" i="20" s="1"/>
  <c r="H335" i="20"/>
  <c r="I335" i="20" s="1"/>
  <c r="H473" i="20"/>
  <c r="I473" i="20" s="1"/>
  <c r="H484" i="20"/>
  <c r="I484" i="20" s="1"/>
  <c r="H868" i="20"/>
  <c r="I868" i="20" s="1"/>
  <c r="H118" i="20"/>
  <c r="I118" i="20" s="1"/>
  <c r="H462" i="20"/>
  <c r="I462" i="20" s="1"/>
  <c r="H465" i="20"/>
  <c r="I465" i="20" s="1"/>
  <c r="H475" i="20"/>
  <c r="I475" i="20" s="1"/>
  <c r="H941" i="20"/>
  <c r="I941" i="20" s="1"/>
  <c r="H330" i="20"/>
  <c r="I330" i="20" s="1"/>
  <c r="H307" i="20"/>
  <c r="I307" i="20" s="1"/>
  <c r="H736" i="20"/>
  <c r="I736" i="20" s="1"/>
  <c r="H604" i="20"/>
  <c r="I604" i="20" s="1"/>
  <c r="H143" i="20"/>
  <c r="I143" i="20" s="1"/>
  <c r="H696" i="20"/>
  <c r="I696" i="20" s="1"/>
  <c r="H733" i="20"/>
  <c r="I733" i="20" s="1"/>
  <c r="H782" i="20"/>
  <c r="I782" i="20" s="1"/>
  <c r="H145" i="20"/>
  <c r="I145" i="20" s="1"/>
  <c r="H851" i="20"/>
  <c r="I851" i="20" s="1"/>
  <c r="H638" i="20"/>
  <c r="I638" i="20" s="1"/>
  <c r="H203" i="20"/>
  <c r="H517" i="20"/>
  <c r="I517" i="20" s="1"/>
  <c r="H314" i="20"/>
  <c r="I314" i="20" s="1"/>
  <c r="H153" i="20"/>
  <c r="I153" i="20" s="1"/>
  <c r="H682" i="20"/>
  <c r="I682" i="20" s="1"/>
  <c r="H922" i="20"/>
  <c r="I922" i="20" s="1"/>
  <c r="H396" i="20"/>
  <c r="I396" i="20" s="1"/>
  <c r="H110" i="20"/>
  <c r="I110" i="20" s="1"/>
  <c r="H280" i="20"/>
  <c r="H220" i="20"/>
  <c r="I220" i="20" s="1"/>
  <c r="H674" i="20"/>
  <c r="I674" i="20" s="1"/>
  <c r="H681" i="20"/>
  <c r="I681" i="20" s="1"/>
  <c r="H761" i="20"/>
  <c r="I761" i="20" s="1"/>
  <c r="H394" i="20"/>
  <c r="I394" i="20" s="1"/>
  <c r="H499" i="20"/>
  <c r="I499" i="20" s="1"/>
  <c r="H775" i="20"/>
  <c r="I775" i="20" s="1"/>
  <c r="H939" i="20"/>
  <c r="I939" i="20" s="1"/>
  <c r="H687" i="20"/>
  <c r="I687" i="20" s="1"/>
  <c r="H205" i="20"/>
  <c r="I205" i="20" s="1"/>
  <c r="H947" i="20"/>
  <c r="I947" i="20" s="1"/>
  <c r="H116" i="20"/>
  <c r="I116" i="20" s="1"/>
  <c r="H498" i="20"/>
  <c r="I498" i="20" s="1"/>
  <c r="H323" i="20"/>
  <c r="I323" i="20" s="1"/>
  <c r="H936" i="20"/>
  <c r="I936" i="20" s="1"/>
  <c r="H747" i="20"/>
  <c r="I747" i="20" s="1"/>
  <c r="H114" i="20"/>
  <c r="H284" i="20"/>
  <c r="I284" i="20" s="1"/>
  <c r="H154" i="20"/>
  <c r="I154" i="20" s="1"/>
  <c r="H139" i="20"/>
  <c r="I139" i="20" s="1"/>
  <c r="H776" i="20"/>
  <c r="I776" i="20" s="1"/>
  <c r="H390" i="20"/>
  <c r="I390" i="20" s="1"/>
  <c r="H934" i="20"/>
  <c r="I934" i="20" s="1"/>
  <c r="H872" i="20"/>
  <c r="I872" i="20" s="1"/>
  <c r="H553" i="20"/>
  <c r="I553" i="20" s="1"/>
  <c r="H756" i="20"/>
  <c r="I756" i="20" s="1"/>
  <c r="H820" i="20"/>
  <c r="I820" i="20" s="1"/>
  <c r="H424" i="20"/>
  <c r="I424" i="20" s="1"/>
  <c r="H466" i="20"/>
  <c r="I466" i="20" s="1"/>
  <c r="H942" i="20"/>
  <c r="I942" i="20" s="1"/>
  <c r="H952" i="20"/>
  <c r="I952" i="20" s="1"/>
  <c r="H963" i="20"/>
  <c r="I963" i="20" s="1"/>
  <c r="H291" i="20"/>
  <c r="I291" i="20" s="1"/>
  <c r="H773" i="20"/>
  <c r="I773" i="20" s="1"/>
  <c r="H510" i="20"/>
  <c r="I510" i="20" s="1"/>
  <c r="H414" i="20"/>
  <c r="I414" i="20" s="1"/>
  <c r="H554" i="20"/>
  <c r="I554" i="20" s="1"/>
  <c r="H560" i="20"/>
  <c r="I560" i="20" s="1"/>
  <c r="H748" i="20"/>
  <c r="I748" i="20" s="1"/>
  <c r="H956" i="20"/>
  <c r="I956" i="20" s="1"/>
  <c r="H564" i="20"/>
  <c r="I564" i="20" s="1"/>
  <c r="H930" i="20"/>
  <c r="I930" i="20" s="1"/>
  <c r="H149" i="20"/>
  <c r="I149" i="20" s="1"/>
  <c r="H122" i="20"/>
  <c r="I122" i="20" s="1"/>
  <c r="H235" i="20"/>
  <c r="I235" i="20" s="1"/>
  <c r="H401" i="20"/>
  <c r="I401" i="20" s="1"/>
  <c r="H579" i="20"/>
  <c r="I579" i="20" s="1"/>
  <c r="H767" i="20"/>
  <c r="I767" i="20" s="1"/>
  <c r="H573" i="20"/>
  <c r="I573" i="20" s="1"/>
  <c r="H516" i="20"/>
  <c r="I516" i="20" s="1"/>
  <c r="H318" i="20"/>
  <c r="I318" i="20" s="1"/>
  <c r="H376" i="20"/>
  <c r="I376" i="20" s="1"/>
  <c r="H585" i="20"/>
  <c r="I585" i="20" s="1"/>
  <c r="H195" i="20"/>
  <c r="I195" i="20" s="1"/>
  <c r="H501" i="20"/>
  <c r="I501" i="20" s="1"/>
  <c r="H918" i="20"/>
  <c r="I918" i="20" s="1"/>
  <c r="H640" i="20"/>
  <c r="I640" i="20" s="1"/>
  <c r="H383" i="20"/>
  <c r="I383" i="20" s="1"/>
  <c r="H774" i="20"/>
  <c r="I774" i="20" s="1"/>
  <c r="H958" i="20"/>
  <c r="I958" i="20" s="1"/>
  <c r="H481" i="20"/>
  <c r="I481" i="20" s="1"/>
  <c r="H469" i="20"/>
  <c r="I469" i="20" s="1"/>
  <c r="H391" i="20"/>
  <c r="I391" i="20" s="1"/>
  <c r="H103" i="20"/>
  <c r="I103" i="20" s="1"/>
  <c r="H565" i="20"/>
  <c r="I565" i="20" s="1"/>
  <c r="H238" i="20"/>
  <c r="I238" i="20" s="1"/>
  <c r="H784" i="20"/>
  <c r="I784" i="20" s="1"/>
  <c r="H234" i="20"/>
  <c r="I234" i="20" s="1"/>
  <c r="H600" i="20"/>
  <c r="I600" i="20" s="1"/>
  <c r="H282" i="20"/>
  <c r="I282" i="20" s="1"/>
  <c r="H861" i="20"/>
  <c r="I861" i="20" s="1"/>
  <c r="H856" i="20"/>
  <c r="I856" i="20" s="1"/>
  <c r="H305" i="20"/>
  <c r="I305" i="20" s="1"/>
  <c r="H557" i="20"/>
  <c r="H227" i="20"/>
  <c r="I227" i="20" s="1"/>
  <c r="H204" i="20"/>
  <c r="I204" i="20" s="1"/>
  <c r="H106" i="20"/>
  <c r="I106" i="20" s="1"/>
  <c r="H867" i="20"/>
  <c r="I867" i="20" s="1"/>
  <c r="H658" i="20"/>
  <c r="I658" i="20" s="1"/>
  <c r="H512" i="20"/>
  <c r="I512" i="20" s="1"/>
  <c r="H294" i="20"/>
  <c r="I294" i="20" s="1"/>
  <c r="H780" i="20"/>
  <c r="I780" i="20" s="1"/>
  <c r="H605" i="20"/>
  <c r="I605" i="20" s="1"/>
  <c r="H691" i="20"/>
  <c r="I691" i="20" s="1"/>
  <c r="H765" i="20"/>
  <c r="I765" i="20" s="1"/>
  <c r="H779" i="20"/>
  <c r="I779" i="20" s="1"/>
  <c r="H337" i="20"/>
  <c r="I337" i="20" s="1"/>
  <c r="H426" i="20"/>
  <c r="I426" i="20" s="1"/>
  <c r="H198" i="20"/>
  <c r="I198" i="20" s="1"/>
  <c r="H949" i="20"/>
  <c r="I949" i="20" s="1"/>
  <c r="H492" i="20"/>
  <c r="I492" i="20" s="1"/>
  <c r="H857" i="20"/>
  <c r="I857" i="20" s="1"/>
  <c r="H489" i="20"/>
  <c r="I489" i="20" s="1"/>
  <c r="H221" i="20"/>
  <c r="I221" i="20" s="1"/>
  <c r="H129" i="20"/>
  <c r="I129" i="20" s="1"/>
  <c r="H643" i="20"/>
  <c r="I643" i="20" s="1"/>
  <c r="H508" i="20"/>
  <c r="I508" i="20" s="1"/>
  <c r="H739" i="20"/>
  <c r="I739" i="20" s="1"/>
  <c r="H375" i="20"/>
  <c r="I375" i="20" s="1"/>
  <c r="H137" i="20"/>
  <c r="I137" i="20" s="1"/>
  <c r="H729" i="20"/>
  <c r="I729" i="20" s="1"/>
  <c r="H870" i="20"/>
  <c r="I870" i="20" s="1"/>
  <c r="H754" i="20"/>
  <c r="I754" i="20" s="1"/>
  <c r="H285" i="20"/>
  <c r="I285" i="20" s="1"/>
  <c r="H766" i="20"/>
  <c r="I766" i="20" s="1"/>
  <c r="H209" i="20"/>
  <c r="I209" i="20" s="1"/>
  <c r="H297" i="20"/>
  <c r="I297" i="20" s="1"/>
  <c r="H665" i="20"/>
  <c r="I665" i="20" s="1"/>
  <c r="H954" i="20"/>
  <c r="I954" i="20" s="1"/>
  <c r="H403" i="20"/>
  <c r="I403" i="20" s="1"/>
  <c r="H831" i="20"/>
  <c r="I831" i="20" s="1"/>
  <c r="H293" i="20"/>
  <c r="I293" i="20" s="1"/>
  <c r="H962" i="20"/>
  <c r="I962" i="20" s="1"/>
  <c r="H685" i="20"/>
  <c r="I685" i="20" s="1"/>
  <c r="H558" i="20"/>
  <c r="I558" i="20" s="1"/>
  <c r="H693" i="20"/>
  <c r="I693" i="20" s="1"/>
  <c r="H239" i="20"/>
  <c r="I239" i="20" s="1"/>
  <c r="H659" i="20"/>
  <c r="I659" i="20" s="1"/>
  <c r="H825" i="20"/>
  <c r="I825" i="20" s="1"/>
  <c r="H864" i="20"/>
  <c r="I864" i="20" s="1"/>
  <c r="H109" i="20"/>
  <c r="I109" i="20" s="1"/>
  <c r="H852" i="20"/>
  <c r="I852" i="20" s="1"/>
  <c r="H647" i="20"/>
  <c r="I647" i="20" s="1"/>
  <c r="H407" i="20"/>
  <c r="I407" i="20" s="1"/>
  <c r="H236" i="20"/>
  <c r="I236" i="20" s="1"/>
  <c r="H592" i="20"/>
  <c r="I592" i="20" s="1"/>
  <c r="H402" i="20"/>
  <c r="I402" i="20" s="1"/>
  <c r="H928" i="20"/>
  <c r="I928" i="20" s="1"/>
  <c r="H400" i="20"/>
  <c r="I400" i="20" s="1"/>
  <c r="H817" i="20"/>
  <c r="I817" i="20" s="1"/>
  <c r="H281" i="20"/>
  <c r="I281" i="20" s="1"/>
  <c r="H762" i="20"/>
  <c r="I762" i="20" s="1"/>
  <c r="H325" i="20"/>
  <c r="I325" i="20" s="1"/>
  <c r="H844" i="20"/>
  <c r="I844" i="20" s="1"/>
  <c r="H423" i="20"/>
  <c r="I423" i="20" s="1"/>
  <c r="H329" i="20"/>
  <c r="I329" i="20" s="1"/>
  <c r="H917" i="20"/>
  <c r="I917" i="20" s="1"/>
  <c r="H399" i="20"/>
  <c r="I399" i="20" s="1"/>
  <c r="H663" i="20"/>
  <c r="I663" i="20" s="1"/>
  <c r="H296" i="20"/>
  <c r="I296" i="20" s="1"/>
  <c r="H594" i="20"/>
  <c r="I594" i="20" s="1"/>
  <c r="H427" i="20"/>
  <c r="I427" i="20" s="1"/>
  <c r="H490" i="20"/>
  <c r="I490" i="20" s="1"/>
  <c r="H237" i="20"/>
  <c r="I237" i="20" s="1"/>
  <c r="H233" i="20"/>
  <c r="I233" i="20" s="1"/>
  <c r="H926" i="20"/>
  <c r="I926" i="20" s="1"/>
  <c r="H392" i="20"/>
  <c r="I392" i="20" s="1"/>
  <c r="H821" i="20"/>
  <c r="I821" i="20" s="1"/>
  <c r="H593" i="20"/>
  <c r="I593" i="20" s="1"/>
  <c r="H873" i="20"/>
  <c r="I873" i="20" s="1"/>
  <c r="H574" i="20"/>
  <c r="I574" i="20" s="1"/>
  <c r="H606" i="20"/>
  <c r="I606" i="20" s="1"/>
  <c r="H644" i="20"/>
  <c r="I644" i="20" s="1"/>
  <c r="H334" i="20"/>
  <c r="I334" i="20" s="1"/>
  <c r="H393" i="20"/>
  <c r="I393" i="20" s="1"/>
  <c r="H214" i="20"/>
  <c r="I214" i="20" s="1"/>
  <c r="H248" i="20"/>
  <c r="I248" i="20" s="1"/>
  <c r="H298" i="20"/>
  <c r="I298" i="20" s="1"/>
  <c r="H482" i="20"/>
  <c r="I482" i="20" s="1"/>
  <c r="H728" i="20"/>
  <c r="I728" i="20" s="1"/>
  <c r="H287" i="20"/>
  <c r="I287" i="20" s="1"/>
  <c r="H200" i="20"/>
  <c r="I200" i="20" s="1"/>
  <c r="H102" i="20"/>
  <c r="I102" i="20" s="1"/>
  <c r="H746" i="20"/>
  <c r="I746" i="20" s="1"/>
  <c r="H157" i="20"/>
  <c r="I157" i="20" s="1"/>
  <c r="H474" i="20"/>
  <c r="I474" i="20" s="1"/>
  <c r="H572" i="20"/>
  <c r="I572" i="20" s="1"/>
  <c r="H464" i="20"/>
  <c r="I464" i="20" s="1"/>
  <c r="H112" i="20"/>
  <c r="I112" i="20" s="1"/>
  <c r="H657" i="20"/>
  <c r="I657" i="20" s="1"/>
  <c r="H671" i="20"/>
  <c r="I671" i="20" s="1"/>
  <c r="H854" i="20"/>
  <c r="I854" i="20" s="1"/>
  <c r="H244" i="20"/>
  <c r="I244" i="20" s="1"/>
  <c r="H670" i="20"/>
  <c r="I670" i="20" s="1"/>
  <c r="H155" i="20"/>
  <c r="I155" i="20" s="1"/>
  <c r="H654" i="20"/>
  <c r="I654" i="20" s="1"/>
  <c r="H753" i="20"/>
  <c r="I753" i="20" s="1"/>
  <c r="H656" i="20"/>
  <c r="I656" i="20" s="1"/>
  <c r="H603" i="20"/>
  <c r="I603" i="20" s="1"/>
  <c r="H824" i="20"/>
  <c r="I824" i="20" s="1"/>
  <c r="H240" i="20"/>
  <c r="I240" i="20" s="1"/>
  <c r="H405" i="20"/>
  <c r="I405" i="20" s="1"/>
  <c r="H320" i="20"/>
  <c r="I320" i="20" s="1"/>
  <c r="H379" i="20"/>
  <c r="I379" i="20" s="1"/>
  <c r="H395" i="20"/>
  <c r="I395" i="20" s="1"/>
  <c r="H503" i="20"/>
  <c r="I503" i="20" s="1"/>
  <c r="H506" i="20"/>
  <c r="I506" i="20" s="1"/>
  <c r="H477" i="20"/>
  <c r="I477" i="20" s="1"/>
  <c r="H133" i="20"/>
  <c r="I133" i="20" s="1"/>
  <c r="H871" i="20"/>
  <c r="I871" i="20" s="1"/>
  <c r="H496" i="20"/>
  <c r="I496" i="20" s="1"/>
  <c r="H147" i="20"/>
  <c r="I147" i="20" s="1"/>
  <c r="H144" i="20"/>
  <c r="I144" i="20" s="1"/>
  <c r="H121" i="20"/>
  <c r="I121" i="20" s="1"/>
  <c r="H933" i="20"/>
  <c r="I933" i="20" s="1"/>
  <c r="H309" i="20"/>
  <c r="I309" i="20" s="1"/>
  <c r="H959" i="20"/>
  <c r="I959" i="20" s="1"/>
  <c r="H667" i="20"/>
  <c r="I667" i="20" s="1"/>
  <c r="H369" i="20"/>
  <c r="H467" i="20"/>
  <c r="I467" i="20" s="1"/>
  <c r="H130" i="20"/>
  <c r="I130" i="20" s="1"/>
  <c r="H142" i="20"/>
  <c r="I142" i="20" s="1"/>
  <c r="H125" i="20"/>
  <c r="I125" i="20" s="1"/>
  <c r="H837" i="20"/>
  <c r="I837" i="20" s="1"/>
  <c r="H201" i="20"/>
  <c r="I201" i="20" s="1"/>
  <c r="H955" i="20"/>
  <c r="I955" i="20" s="1"/>
  <c r="H912" i="20"/>
  <c r="I912" i="20" s="1"/>
  <c r="H115" i="20"/>
  <c r="I115" i="20" s="1"/>
  <c r="H726" i="20"/>
  <c r="H737" i="20"/>
  <c r="I737" i="20" s="1"/>
  <c r="H664" i="20"/>
  <c r="I664" i="20" s="1"/>
  <c r="H570" i="20"/>
  <c r="I570" i="20" s="1"/>
  <c r="H216" i="20"/>
  <c r="I216" i="20" s="1"/>
  <c r="H742" i="20"/>
  <c r="I742" i="20" s="1"/>
  <c r="H921" i="20"/>
  <c r="I921" i="20" s="1"/>
  <c r="H645" i="20"/>
  <c r="I645" i="20" s="1"/>
  <c r="H410" i="20"/>
  <c r="I410" i="20" s="1"/>
  <c r="H695" i="20"/>
  <c r="I695" i="20" s="1"/>
  <c r="H818" i="20"/>
  <c r="I818" i="20" s="1"/>
  <c r="H301" i="20"/>
  <c r="I301" i="20" s="1"/>
  <c r="H312" i="20"/>
  <c r="I312" i="20" s="1"/>
  <c r="H494" i="20"/>
  <c r="I494" i="20" s="1"/>
  <c r="H131" i="20"/>
  <c r="I131" i="20" s="1"/>
  <c r="H835" i="20"/>
  <c r="I835" i="20" s="1"/>
  <c r="H304" i="20"/>
  <c r="I304" i="20" s="1"/>
  <c r="H387" i="20"/>
  <c r="I387" i="20" s="1"/>
  <c r="H416" i="20"/>
  <c r="I416" i="20" s="1"/>
  <c r="H730" i="20"/>
  <c r="I730" i="20" s="1"/>
  <c r="H470" i="20"/>
  <c r="I470" i="20" s="1"/>
  <c r="H120" i="20"/>
  <c r="I120" i="20" s="1"/>
  <c r="H428" i="20"/>
  <c r="I428" i="20" s="1"/>
  <c r="H152" i="20"/>
  <c r="I152" i="20" s="1"/>
  <c r="H760" i="20"/>
  <c r="I760" i="20" s="1"/>
  <c r="H858" i="20"/>
  <c r="I858" i="20" s="1"/>
  <c r="H908" i="20"/>
  <c r="I908" i="20" s="1"/>
  <c r="H847" i="20"/>
  <c r="I847" i="20" s="1"/>
  <c r="H910" i="20"/>
  <c r="I910" i="20" s="1"/>
  <c r="H916" i="20"/>
  <c r="I916" i="20" s="1"/>
  <c r="H385" i="20"/>
  <c r="I385" i="20" s="1"/>
  <c r="H637" i="20"/>
  <c r="H842" i="20"/>
  <c r="I842" i="20" s="1"/>
  <c r="H827" i="20"/>
  <c r="I827" i="20" s="1"/>
  <c r="H829" i="20"/>
  <c r="I829" i="20" s="1"/>
  <c r="H471" i="20"/>
  <c r="I471" i="20" s="1"/>
  <c r="H582" i="20"/>
  <c r="I582" i="20" s="1"/>
  <c r="H316" i="20"/>
  <c r="I316" i="20" s="1"/>
  <c r="H740" i="20"/>
  <c r="I740" i="20" s="1"/>
  <c r="H865" i="20"/>
  <c r="I865" i="20" s="1"/>
  <c r="H328" i="20"/>
  <c r="I328" i="20" s="1"/>
  <c r="H132" i="20"/>
  <c r="I132" i="20" s="1"/>
  <c r="H846" i="20"/>
  <c r="I846" i="20" s="1"/>
  <c r="H914" i="20"/>
  <c r="I914" i="20" s="1"/>
  <c r="H655" i="20"/>
  <c r="I655" i="20" s="1"/>
  <c r="H822" i="20"/>
  <c r="I822" i="20" s="1"/>
  <c r="H927" i="20"/>
  <c r="I927" i="20" s="1"/>
  <c r="H757" i="20"/>
  <c r="I757" i="20" s="1"/>
  <c r="H862" i="20"/>
  <c r="I862" i="20" s="1"/>
  <c r="H923" i="20"/>
  <c r="I923" i="20" s="1"/>
  <c r="H422" i="20"/>
  <c r="I422" i="20" s="1"/>
  <c r="H909" i="20"/>
  <c r="I909" i="20" s="1"/>
  <c r="H336" i="20"/>
  <c r="I336" i="20" s="1"/>
  <c r="H246" i="20"/>
  <c r="I246" i="20" s="1"/>
  <c r="H683" i="20"/>
  <c r="I683" i="20" s="1"/>
  <c r="H731" i="20"/>
  <c r="I731" i="20" s="1"/>
  <c r="H749" i="20"/>
  <c r="I749" i="20" s="1"/>
  <c r="H303" i="20"/>
  <c r="I303" i="20" s="1"/>
  <c r="H419" i="20"/>
  <c r="I419" i="20" s="1"/>
  <c r="H148" i="20"/>
  <c r="I148" i="20" s="1"/>
  <c r="H866" i="20"/>
  <c r="I866" i="20" s="1"/>
  <c r="H421" i="20"/>
  <c r="I421" i="20" s="1"/>
  <c r="H589" i="20"/>
  <c r="I589" i="20" s="1"/>
  <c r="H411" i="20"/>
  <c r="I411" i="20" s="1"/>
  <c r="H743" i="20"/>
  <c r="I743" i="20" s="1"/>
  <c r="H463" i="20"/>
  <c r="I463" i="20" s="1"/>
  <c r="H231" i="20"/>
  <c r="I231" i="20" s="1"/>
  <c r="H569" i="20"/>
  <c r="I569" i="20" s="1"/>
  <c r="H601" i="20"/>
  <c r="I601" i="20" s="1"/>
  <c r="H196" i="20"/>
  <c r="I196" i="20" s="1"/>
  <c r="H828" i="20"/>
  <c r="I828" i="20" s="1"/>
  <c r="H935" i="20"/>
  <c r="I935" i="20" s="1"/>
  <c r="H845" i="20"/>
  <c r="I845" i="20" s="1"/>
  <c r="H136" i="20"/>
  <c r="I136" i="20" s="1"/>
  <c r="H339" i="20"/>
  <c r="I339" i="20" s="1"/>
  <c r="H556" i="20"/>
  <c r="I556" i="20" s="1"/>
  <c r="H581" i="20"/>
  <c r="I581" i="20" s="1"/>
  <c r="H832" i="20"/>
  <c r="I832" i="20" s="1"/>
  <c r="H576" i="20"/>
  <c r="I576" i="20" s="1"/>
  <c r="H823" i="20"/>
  <c r="H669" i="20"/>
  <c r="I669" i="20" s="1"/>
  <c r="H745" i="20"/>
  <c r="I745" i="20" s="1"/>
  <c r="H673" i="20"/>
  <c r="I673" i="20" s="1"/>
  <c r="H207" i="20"/>
  <c r="I207" i="20" s="1"/>
  <c r="H191" i="20"/>
  <c r="H123" i="20"/>
  <c r="I123" i="20" s="1"/>
  <c r="H596" i="20"/>
  <c r="I596" i="20" s="1"/>
  <c r="H218" i="20"/>
  <c r="I218" i="20" s="1"/>
  <c r="H505" i="20"/>
  <c r="I505" i="20" s="1"/>
  <c r="H727" i="20"/>
  <c r="I727" i="20" s="1"/>
  <c r="H502" i="20"/>
  <c r="I502" i="20" s="1"/>
  <c r="H299" i="20"/>
  <c r="I299" i="20" s="1"/>
  <c r="H397" i="20"/>
  <c r="I397" i="20" s="1"/>
  <c r="H938" i="20"/>
  <c r="I938" i="20" s="1"/>
  <c r="H226" i="20"/>
  <c r="I226" i="20" s="1"/>
  <c r="H408" i="20"/>
  <c r="I408" i="20" s="1"/>
  <c r="H495" i="20"/>
  <c r="I495" i="20" s="1"/>
  <c r="H652" i="20"/>
  <c r="I652" i="20" s="1"/>
  <c r="H151" i="20"/>
  <c r="I151" i="20" s="1"/>
  <c r="H156" i="20"/>
  <c r="I156" i="20" s="1"/>
  <c r="H160" i="20"/>
  <c r="I160" i="20" s="1"/>
  <c r="H668" i="20"/>
  <c r="I668" i="20" s="1"/>
  <c r="H588" i="20"/>
  <c r="I588" i="20" s="1"/>
  <c r="H943" i="20"/>
  <c r="I943" i="20" s="1"/>
  <c r="H313" i="20"/>
  <c r="I313" i="20" s="1"/>
  <c r="H688" i="20"/>
  <c r="I688" i="20" s="1"/>
  <c r="H944" i="20"/>
  <c r="I944" i="20" s="1"/>
  <c r="H650" i="20"/>
  <c r="I650" i="20" s="1"/>
  <c r="H324" i="20"/>
  <c r="I324" i="20" s="1"/>
  <c r="H372" i="20"/>
  <c r="I372" i="20" s="1"/>
  <c r="H381" i="20"/>
  <c r="I381" i="20" s="1"/>
  <c r="H111" i="20"/>
  <c r="I111" i="20" s="1"/>
  <c r="H563" i="20"/>
  <c r="I563" i="20" s="1"/>
  <c r="H288" i="20"/>
  <c r="I288" i="20" s="1"/>
  <c r="H586" i="20"/>
  <c r="I586" i="20" s="1"/>
  <c r="H781" i="20"/>
  <c r="I781" i="20" s="1"/>
  <c r="H684" i="20"/>
  <c r="I684" i="20" s="1"/>
  <c r="H675" i="20"/>
  <c r="I675" i="20" s="1"/>
  <c r="H783" i="20"/>
  <c r="I783" i="20" s="1"/>
  <c r="H946" i="20"/>
  <c r="I946" i="20" s="1"/>
  <c r="H580" i="20"/>
  <c r="I580" i="20" s="1"/>
  <c r="H513" i="20"/>
  <c r="I513" i="20" s="1"/>
  <c r="H138" i="20"/>
  <c r="I138" i="20" s="1"/>
  <c r="H940" i="20"/>
  <c r="I940" i="20" s="1"/>
  <c r="H646" i="20"/>
  <c r="H583" i="20"/>
  <c r="I583" i="20" s="1"/>
  <c r="H497" i="20"/>
  <c r="I497" i="20" s="1"/>
  <c r="H913" i="20"/>
  <c r="I913" i="20" s="1"/>
  <c r="H690" i="20"/>
  <c r="I690" i="20" s="1"/>
  <c r="H250" i="20"/>
  <c r="I250" i="20" s="1"/>
  <c r="H286" i="20"/>
  <c r="I286" i="20" s="1"/>
  <c r="H404" i="20"/>
  <c r="I404" i="20" s="1"/>
  <c r="H692" i="20"/>
  <c r="I692" i="20" s="1"/>
  <c r="H550" i="20"/>
  <c r="I550" i="20" s="1"/>
  <c r="H555" i="20"/>
  <c r="I555" i="20" s="1"/>
  <c r="H853" i="20"/>
  <c r="I853" i="20" s="1"/>
  <c r="H848" i="20"/>
  <c r="I848" i="20" s="1"/>
  <c r="H964" i="20"/>
  <c r="I964" i="20" s="1"/>
  <c r="H507" i="20"/>
  <c r="I507" i="20" s="1"/>
  <c r="H551" i="20"/>
  <c r="I551" i="20" s="1"/>
  <c r="H485" i="20"/>
  <c r="I485" i="20" s="1"/>
  <c r="H769" i="20"/>
  <c r="I769" i="20" s="1"/>
  <c r="H764" i="20"/>
  <c r="I764" i="20" s="1"/>
  <c r="H232" i="20"/>
  <c r="I232" i="20" s="1"/>
  <c r="H479" i="20"/>
  <c r="I479" i="20" s="1"/>
  <c r="H384" i="20"/>
  <c r="I384" i="20" s="1"/>
  <c r="H135" i="20"/>
  <c r="I135" i="20" s="1"/>
  <c r="H206" i="20"/>
  <c r="I206" i="20" s="1"/>
  <c r="H578" i="20"/>
  <c r="I578" i="20" s="1"/>
  <c r="H752" i="20"/>
  <c r="I752" i="20" s="1"/>
  <c r="H486" i="20"/>
  <c r="I486" i="20" s="1"/>
  <c r="H945" i="20"/>
  <c r="I945" i="20" s="1"/>
  <c r="H816" i="20"/>
  <c r="I816" i="20" s="1"/>
  <c r="H413" i="20"/>
  <c r="I413" i="20" s="1"/>
  <c r="H587" i="20"/>
  <c r="I587" i="20" s="1"/>
  <c r="H741" i="20"/>
  <c r="I741" i="20" s="1"/>
  <c r="H310" i="20"/>
  <c r="I310" i="20" s="1"/>
  <c r="H483" i="20"/>
  <c r="I483" i="20" s="1"/>
  <c r="H511" i="20"/>
  <c r="I511" i="20" s="1"/>
  <c r="H199" i="20"/>
  <c r="I199" i="20" s="1"/>
  <c r="H678" i="20"/>
  <c r="I678" i="20" s="1"/>
  <c r="H210" i="20"/>
  <c r="I210" i="20" s="1"/>
  <c r="H126" i="20"/>
  <c r="I126" i="20" s="1"/>
  <c r="H117" i="20"/>
  <c r="I117" i="20" s="1"/>
  <c r="H504" i="20"/>
  <c r="I504" i="20" s="1"/>
  <c r="H491" i="20"/>
  <c r="I491" i="20" s="1"/>
  <c r="H373" i="20"/>
  <c r="I373" i="20" s="1"/>
  <c r="H961" i="20"/>
  <c r="I961" i="20" s="1"/>
  <c r="G340" i="20"/>
  <c r="H334" i="13"/>
  <c r="H247" i="13"/>
  <c r="M631" i="13"/>
  <c r="M611" i="13"/>
  <c r="M612" i="13" s="1"/>
  <c r="H943" i="13"/>
  <c r="M437" i="13"/>
  <c r="M438" i="13" s="1"/>
  <c r="M457" i="13"/>
  <c r="I188" i="13"/>
  <c r="I191" i="13"/>
  <c r="I187" i="13"/>
  <c r="I192" i="13"/>
  <c r="I189" i="13"/>
  <c r="I190" i="13"/>
  <c r="I193" i="13"/>
  <c r="I194" i="13"/>
  <c r="I195" i="13"/>
  <c r="I196" i="13"/>
  <c r="I197" i="13"/>
  <c r="I198" i="13"/>
  <c r="I199" i="13"/>
  <c r="I200" i="13"/>
  <c r="J200" i="13" s="1"/>
  <c r="I201" i="13"/>
  <c r="J201" i="13" s="1"/>
  <c r="I202" i="13"/>
  <c r="J202" i="13" s="1"/>
  <c r="I203" i="13"/>
  <c r="J203" i="13" s="1"/>
  <c r="I204" i="13"/>
  <c r="J204" i="13" s="1"/>
  <c r="I205" i="13"/>
  <c r="J205" i="13" s="1"/>
  <c r="I206" i="13"/>
  <c r="J206" i="13" s="1"/>
  <c r="I207" i="13"/>
  <c r="J207" i="13" s="1"/>
  <c r="I208" i="13"/>
  <c r="J208" i="13" s="1"/>
  <c r="I209" i="13"/>
  <c r="J209" i="13" s="1"/>
  <c r="I210" i="13"/>
  <c r="J210" i="13" s="1"/>
  <c r="I211" i="13"/>
  <c r="J211" i="13" s="1"/>
  <c r="I212" i="13"/>
  <c r="J212" i="13" s="1"/>
  <c r="I213" i="13"/>
  <c r="J213" i="13" s="1"/>
  <c r="I214" i="13"/>
  <c r="J214" i="13" s="1"/>
  <c r="I215" i="13"/>
  <c r="J215" i="13" s="1"/>
  <c r="I216" i="13"/>
  <c r="J216" i="13" s="1"/>
  <c r="I217" i="13"/>
  <c r="J217" i="13" s="1"/>
  <c r="I218" i="13"/>
  <c r="J218" i="13" s="1"/>
  <c r="I219" i="13"/>
  <c r="J219" i="13" s="1"/>
  <c r="I220" i="13"/>
  <c r="J220" i="13" s="1"/>
  <c r="I221" i="13"/>
  <c r="J221" i="13" s="1"/>
  <c r="I222" i="13"/>
  <c r="J222" i="13" s="1"/>
  <c r="I223" i="13"/>
  <c r="J223" i="13" s="1"/>
  <c r="I224" i="13"/>
  <c r="J224" i="13" s="1"/>
  <c r="I225" i="13"/>
  <c r="J225" i="13" s="1"/>
  <c r="I226" i="13"/>
  <c r="J226" i="13" s="1"/>
  <c r="I227" i="13"/>
  <c r="J227" i="13" s="1"/>
  <c r="I228" i="13"/>
  <c r="J228" i="13" s="1"/>
  <c r="I229" i="13"/>
  <c r="J229" i="13" s="1"/>
  <c r="I230" i="13"/>
  <c r="J230" i="13" s="1"/>
  <c r="I231" i="13"/>
  <c r="J231" i="13" s="1"/>
  <c r="I232" i="13"/>
  <c r="J232" i="13" s="1"/>
  <c r="I233" i="13"/>
  <c r="J233" i="13" s="1"/>
  <c r="I234" i="13"/>
  <c r="J234" i="13" s="1"/>
  <c r="I235" i="13"/>
  <c r="J235" i="13" s="1"/>
  <c r="I236" i="13"/>
  <c r="J236" i="13" s="1"/>
  <c r="I237" i="13"/>
  <c r="J237" i="13" s="1"/>
  <c r="I238" i="13"/>
  <c r="J238" i="13" s="1"/>
  <c r="I239" i="13"/>
  <c r="J239" i="13" s="1"/>
  <c r="I240" i="13"/>
  <c r="J240" i="13" s="1"/>
  <c r="I241" i="13"/>
  <c r="J241" i="13" s="1"/>
  <c r="I242" i="13"/>
  <c r="J242" i="13" s="1"/>
  <c r="I243" i="13"/>
  <c r="J243" i="13" s="1"/>
  <c r="I244" i="13"/>
  <c r="J244" i="13" s="1"/>
  <c r="I245" i="13"/>
  <c r="J245" i="13" s="1"/>
  <c r="I246" i="13"/>
  <c r="J246" i="13" s="1"/>
  <c r="I1143" i="13"/>
  <c r="J1143" i="13" s="1"/>
  <c r="I1140" i="13"/>
  <c r="J1140" i="13" s="1"/>
  <c r="I1141" i="13"/>
  <c r="I1142" i="13"/>
  <c r="I1138" i="13"/>
  <c r="I1139" i="13"/>
  <c r="I1144" i="13"/>
  <c r="J1144" i="13" s="1"/>
  <c r="I1145" i="13"/>
  <c r="J1145" i="13" s="1"/>
  <c r="I1146" i="13"/>
  <c r="J1146" i="13" s="1"/>
  <c r="I1147" i="13"/>
  <c r="J1147" i="13" s="1"/>
  <c r="I1148" i="13"/>
  <c r="J1148" i="13" s="1"/>
  <c r="I1149" i="13"/>
  <c r="J1149" i="13" s="1"/>
  <c r="I1150" i="13"/>
  <c r="J1150" i="13" s="1"/>
  <c r="I1151" i="13"/>
  <c r="J1151" i="13" s="1"/>
  <c r="I1152" i="13"/>
  <c r="J1152" i="13" s="1"/>
  <c r="I1153" i="13"/>
  <c r="J1153" i="13" s="1"/>
  <c r="I1154" i="13"/>
  <c r="J1154" i="13" s="1"/>
  <c r="I1155" i="13"/>
  <c r="J1155" i="13" s="1"/>
  <c r="I1156" i="13"/>
  <c r="J1156" i="13" s="1"/>
  <c r="I1157" i="13"/>
  <c r="I1158" i="13"/>
  <c r="J1158" i="13" s="1"/>
  <c r="I1159" i="13"/>
  <c r="J1159" i="13" s="1"/>
  <c r="I1160" i="13"/>
  <c r="J1160" i="13" s="1"/>
  <c r="I1161" i="13"/>
  <c r="J1161" i="13" s="1"/>
  <c r="I1162" i="13"/>
  <c r="J1162" i="13" s="1"/>
  <c r="I1163" i="13"/>
  <c r="J1163" i="13" s="1"/>
  <c r="I1165" i="13"/>
  <c r="J1165" i="13" s="1"/>
  <c r="I1164" i="13"/>
  <c r="J1164" i="13" s="1"/>
  <c r="I1166" i="13"/>
  <c r="J1166" i="13" s="1"/>
  <c r="I1167" i="13"/>
  <c r="J1167" i="13" s="1"/>
  <c r="I1168" i="13"/>
  <c r="J1168" i="13" s="1"/>
  <c r="I1169" i="13"/>
  <c r="J1169" i="13" s="1"/>
  <c r="I1170" i="13"/>
  <c r="J1170" i="13" s="1"/>
  <c r="I1171" i="13"/>
  <c r="J1171" i="13" s="1"/>
  <c r="I1172" i="13"/>
  <c r="J1172" i="13" s="1"/>
  <c r="I1173" i="13"/>
  <c r="J1173" i="13" s="1"/>
  <c r="I1174" i="13"/>
  <c r="J1174" i="13" s="1"/>
  <c r="I1175" i="13"/>
  <c r="J1175" i="13" s="1"/>
  <c r="I1176" i="13"/>
  <c r="J1176" i="13" s="1"/>
  <c r="I1177" i="13"/>
  <c r="J1177" i="13" s="1"/>
  <c r="I1178" i="13"/>
  <c r="J1178" i="13" s="1"/>
  <c r="I1179" i="13"/>
  <c r="J1179" i="13" s="1"/>
  <c r="I1180" i="13"/>
  <c r="J1180" i="13" s="1"/>
  <c r="I1181" i="13"/>
  <c r="J1181" i="13" s="1"/>
  <c r="I1182" i="13"/>
  <c r="J1182" i="13" s="1"/>
  <c r="I1183" i="13"/>
  <c r="J1183" i="13" s="1"/>
  <c r="I1184" i="13"/>
  <c r="J1184" i="13" s="1"/>
  <c r="I1185" i="13"/>
  <c r="J1185" i="13" s="1"/>
  <c r="I1186" i="13"/>
  <c r="J1186" i="13" s="1"/>
  <c r="I1187" i="13"/>
  <c r="J1187" i="13" s="1"/>
  <c r="I1188" i="13"/>
  <c r="J1188" i="13" s="1"/>
  <c r="I1189" i="13"/>
  <c r="J1189" i="13" s="1"/>
  <c r="I1190" i="13"/>
  <c r="J1190" i="13" s="1"/>
  <c r="I1191" i="13"/>
  <c r="J1191" i="13" s="1"/>
  <c r="I1192" i="13"/>
  <c r="J1192" i="13" s="1"/>
  <c r="I1193" i="13"/>
  <c r="J1193" i="13" s="1"/>
  <c r="I1194" i="13"/>
  <c r="J1194" i="13" s="1"/>
  <c r="I1195" i="13"/>
  <c r="J1195" i="13" s="1"/>
  <c r="I1196" i="13"/>
  <c r="J1196" i="13" s="1"/>
  <c r="I1197" i="13"/>
  <c r="J1197" i="13" s="1"/>
  <c r="M263" i="13"/>
  <c r="M264" i="13" s="1"/>
  <c r="M286" i="13"/>
  <c r="H595" i="13"/>
  <c r="I801" i="13"/>
  <c r="I797" i="13"/>
  <c r="I800" i="13"/>
  <c r="I798" i="13"/>
  <c r="I799" i="13"/>
  <c r="I796" i="13"/>
  <c r="I802" i="13"/>
  <c r="I803" i="13"/>
  <c r="I804" i="13"/>
  <c r="I805" i="13"/>
  <c r="J805" i="13" s="1"/>
  <c r="I806" i="13"/>
  <c r="J806" i="13" s="1"/>
  <c r="I807" i="13"/>
  <c r="J807" i="13" s="1"/>
  <c r="I808" i="13"/>
  <c r="J808" i="13" s="1"/>
  <c r="I809" i="13"/>
  <c r="J809" i="13" s="1"/>
  <c r="I810" i="13"/>
  <c r="J810" i="13" s="1"/>
  <c r="I811" i="13"/>
  <c r="J811" i="13" s="1"/>
  <c r="I812" i="13"/>
  <c r="J812" i="13" s="1"/>
  <c r="I813" i="13"/>
  <c r="J813" i="13" s="1"/>
  <c r="I814" i="13"/>
  <c r="J814" i="13" s="1"/>
  <c r="I815" i="13"/>
  <c r="J815" i="13" s="1"/>
  <c r="I816" i="13"/>
  <c r="J816" i="13" s="1"/>
  <c r="I817" i="13"/>
  <c r="J817" i="13" s="1"/>
  <c r="I818" i="13"/>
  <c r="J818" i="13" s="1"/>
  <c r="I819" i="13"/>
  <c r="J819" i="13" s="1"/>
  <c r="I820" i="13"/>
  <c r="J820" i="13" s="1"/>
  <c r="I821" i="13"/>
  <c r="J821" i="13" s="1"/>
  <c r="I822" i="13"/>
  <c r="J822" i="13" s="1"/>
  <c r="I823" i="13"/>
  <c r="J823" i="13" s="1"/>
  <c r="I824" i="13"/>
  <c r="J824" i="13" s="1"/>
  <c r="I825" i="13"/>
  <c r="J825" i="13" s="1"/>
  <c r="I826" i="13"/>
  <c r="J826" i="13" s="1"/>
  <c r="I827" i="13"/>
  <c r="J827" i="13" s="1"/>
  <c r="I828" i="13"/>
  <c r="J828" i="13" s="1"/>
  <c r="I829" i="13"/>
  <c r="J829" i="13" s="1"/>
  <c r="I830" i="13"/>
  <c r="J830" i="13" s="1"/>
  <c r="I831" i="13"/>
  <c r="J831" i="13" s="1"/>
  <c r="I832" i="13"/>
  <c r="J832" i="13" s="1"/>
  <c r="I833" i="13"/>
  <c r="J833" i="13" s="1"/>
  <c r="I834" i="13"/>
  <c r="J834" i="13" s="1"/>
  <c r="I835" i="13"/>
  <c r="J835" i="13" s="1"/>
  <c r="I836" i="13"/>
  <c r="J836" i="13" s="1"/>
  <c r="I837" i="13"/>
  <c r="J837" i="13" s="1"/>
  <c r="I838" i="13"/>
  <c r="J838" i="13" s="1"/>
  <c r="I839" i="13"/>
  <c r="J839" i="13" s="1"/>
  <c r="I840" i="13"/>
  <c r="J840" i="13" s="1"/>
  <c r="I841" i="13"/>
  <c r="J841" i="13" s="1"/>
  <c r="I842" i="13"/>
  <c r="J842" i="13" s="1"/>
  <c r="I843" i="13"/>
  <c r="J843" i="13" s="1"/>
  <c r="I844" i="13"/>
  <c r="J844" i="13" s="1"/>
  <c r="I845" i="13"/>
  <c r="J845" i="13" s="1"/>
  <c r="I846" i="13"/>
  <c r="J846" i="13" s="1"/>
  <c r="I847" i="13"/>
  <c r="J847" i="13" s="1"/>
  <c r="I848" i="13"/>
  <c r="J848" i="13" s="1"/>
  <c r="I849" i="13"/>
  <c r="J849" i="13" s="1"/>
  <c r="I850" i="13"/>
  <c r="J850" i="13" s="1"/>
  <c r="I851" i="13"/>
  <c r="J851" i="13" s="1"/>
  <c r="I852" i="13"/>
  <c r="J852" i="13" s="1"/>
  <c r="I853" i="13"/>
  <c r="J853" i="13" s="1"/>
  <c r="I854" i="13"/>
  <c r="J854" i="13" s="1"/>
  <c r="I855" i="13"/>
  <c r="J855" i="13" s="1"/>
  <c r="I277" i="13"/>
  <c r="I278" i="13"/>
  <c r="I279" i="13"/>
  <c r="I276" i="13"/>
  <c r="I274" i="13"/>
  <c r="I275" i="13"/>
  <c r="I280" i="13"/>
  <c r="I281" i="13"/>
  <c r="I282" i="13"/>
  <c r="I283" i="13"/>
  <c r="I284" i="13"/>
  <c r="I285" i="13"/>
  <c r="I286" i="13"/>
  <c r="I287" i="13"/>
  <c r="J287" i="13" s="1"/>
  <c r="I288" i="13"/>
  <c r="J288" i="13" s="1"/>
  <c r="I289" i="13"/>
  <c r="J289" i="13" s="1"/>
  <c r="I290" i="13"/>
  <c r="J290" i="13" s="1"/>
  <c r="I291" i="13"/>
  <c r="J291" i="13" s="1"/>
  <c r="I292" i="13"/>
  <c r="J292" i="13" s="1"/>
  <c r="I293" i="13"/>
  <c r="J293" i="13" s="1"/>
  <c r="I294" i="13"/>
  <c r="J294" i="13" s="1"/>
  <c r="I295" i="13"/>
  <c r="J295" i="13" s="1"/>
  <c r="I296" i="13"/>
  <c r="J296" i="13" s="1"/>
  <c r="I297" i="13"/>
  <c r="J297" i="13" s="1"/>
  <c r="I298" i="13"/>
  <c r="J298" i="13" s="1"/>
  <c r="I299" i="13"/>
  <c r="J299" i="13" s="1"/>
  <c r="I300" i="13"/>
  <c r="J300" i="13" s="1"/>
  <c r="I301" i="13"/>
  <c r="J301" i="13" s="1"/>
  <c r="I302" i="13"/>
  <c r="J302" i="13" s="1"/>
  <c r="I303" i="13"/>
  <c r="J303" i="13" s="1"/>
  <c r="I304" i="13"/>
  <c r="J304" i="13" s="1"/>
  <c r="I305" i="13"/>
  <c r="J305" i="13" s="1"/>
  <c r="I306" i="13"/>
  <c r="J306" i="13" s="1"/>
  <c r="I307" i="13"/>
  <c r="J307" i="13" s="1"/>
  <c r="I308" i="13"/>
  <c r="J308" i="13" s="1"/>
  <c r="I309" i="13"/>
  <c r="J309" i="13" s="1"/>
  <c r="I310" i="13"/>
  <c r="J310" i="13" s="1"/>
  <c r="I311" i="13"/>
  <c r="J311" i="13" s="1"/>
  <c r="I312" i="13"/>
  <c r="J312" i="13" s="1"/>
  <c r="I313" i="13"/>
  <c r="J313" i="13" s="1"/>
  <c r="I314" i="13"/>
  <c r="J314" i="13" s="1"/>
  <c r="I315" i="13"/>
  <c r="J315" i="13" s="1"/>
  <c r="I316" i="13"/>
  <c r="J316" i="13" s="1"/>
  <c r="I317" i="13"/>
  <c r="J317" i="13" s="1"/>
  <c r="I318" i="13"/>
  <c r="J318" i="13" s="1"/>
  <c r="I319" i="13"/>
  <c r="J319" i="13" s="1"/>
  <c r="I320" i="13"/>
  <c r="J320" i="13" s="1"/>
  <c r="I321" i="13"/>
  <c r="J321" i="13" s="1"/>
  <c r="I322" i="13"/>
  <c r="J322" i="13" s="1"/>
  <c r="I323" i="13"/>
  <c r="J323" i="13" s="1"/>
  <c r="I324" i="13"/>
  <c r="J324" i="13" s="1"/>
  <c r="I325" i="13"/>
  <c r="J325" i="13" s="1"/>
  <c r="I326" i="13"/>
  <c r="J326" i="13" s="1"/>
  <c r="I327" i="13"/>
  <c r="J327" i="13" s="1"/>
  <c r="I328" i="13"/>
  <c r="J328" i="13" s="1"/>
  <c r="I329" i="13"/>
  <c r="J329" i="13" s="1"/>
  <c r="I330" i="13"/>
  <c r="J330" i="13" s="1"/>
  <c r="I331" i="13"/>
  <c r="J331" i="13" s="1"/>
  <c r="I332" i="13"/>
  <c r="J332" i="13" s="1"/>
  <c r="I333" i="13"/>
  <c r="M1127" i="13"/>
  <c r="M1128" i="13" s="1"/>
  <c r="M1139" i="13"/>
  <c r="M199" i="13"/>
  <c r="M176" i="13"/>
  <c r="M177" i="13" s="1"/>
  <c r="M544" i="13"/>
  <c r="M524" i="13"/>
  <c r="M525" i="13" s="1"/>
  <c r="I973" i="13"/>
  <c r="I972" i="13"/>
  <c r="I970" i="13"/>
  <c r="I975" i="13"/>
  <c r="J975" i="13" s="1"/>
  <c r="I971" i="13"/>
  <c r="I974" i="13"/>
  <c r="J974" i="13" s="1"/>
  <c r="I976" i="13"/>
  <c r="J976" i="13" s="1"/>
  <c r="I977" i="13"/>
  <c r="J977" i="13" s="1"/>
  <c r="I978" i="13"/>
  <c r="J978" i="13" s="1"/>
  <c r="I979" i="13"/>
  <c r="J979" i="13" s="1"/>
  <c r="I980" i="13"/>
  <c r="J980" i="13" s="1"/>
  <c r="I981" i="13"/>
  <c r="J981" i="13" s="1"/>
  <c r="I982" i="13"/>
  <c r="J982" i="13" s="1"/>
  <c r="I983" i="13"/>
  <c r="J983" i="13" s="1"/>
  <c r="I984" i="13"/>
  <c r="J984" i="13" s="1"/>
  <c r="I985" i="13"/>
  <c r="J985" i="13" s="1"/>
  <c r="I986" i="13"/>
  <c r="J986" i="13" s="1"/>
  <c r="I987" i="13"/>
  <c r="J987" i="13" s="1"/>
  <c r="I988" i="13"/>
  <c r="J988" i="13" s="1"/>
  <c r="I989" i="13"/>
  <c r="J989" i="13" s="1"/>
  <c r="I990" i="13"/>
  <c r="J990" i="13" s="1"/>
  <c r="I991" i="13"/>
  <c r="J991" i="13" s="1"/>
  <c r="I992" i="13"/>
  <c r="J992" i="13" s="1"/>
  <c r="I993" i="13"/>
  <c r="J993" i="13" s="1"/>
  <c r="I994" i="13"/>
  <c r="J994" i="13" s="1"/>
  <c r="I995" i="13"/>
  <c r="J995" i="13" s="1"/>
  <c r="I996" i="13"/>
  <c r="J996" i="13" s="1"/>
  <c r="I997" i="13"/>
  <c r="J997" i="13" s="1"/>
  <c r="I998" i="13"/>
  <c r="J998" i="13" s="1"/>
  <c r="I999" i="13"/>
  <c r="J999" i="13" s="1"/>
  <c r="I1000" i="13"/>
  <c r="J1000" i="13" s="1"/>
  <c r="I1001" i="13"/>
  <c r="J1001" i="13" s="1"/>
  <c r="I1002" i="13"/>
  <c r="J1002" i="13" s="1"/>
  <c r="I1003" i="13"/>
  <c r="J1003" i="13" s="1"/>
  <c r="I1004" i="13"/>
  <c r="J1004" i="13" s="1"/>
  <c r="I1005" i="13"/>
  <c r="J1005" i="13" s="1"/>
  <c r="I1006" i="13"/>
  <c r="J1006" i="13" s="1"/>
  <c r="I1007" i="13"/>
  <c r="J1007" i="13" s="1"/>
  <c r="I1008" i="13"/>
  <c r="J1008" i="13" s="1"/>
  <c r="I1009" i="13"/>
  <c r="J1009" i="13" s="1"/>
  <c r="I1010" i="13"/>
  <c r="J1010" i="13" s="1"/>
  <c r="I1011" i="13"/>
  <c r="J1011" i="13" s="1"/>
  <c r="I1012" i="13"/>
  <c r="J1012" i="13" s="1"/>
  <c r="I1013" i="13"/>
  <c r="J1013" i="13" s="1"/>
  <c r="I1014" i="13"/>
  <c r="J1014" i="13" s="1"/>
  <c r="I1015" i="13"/>
  <c r="J1015" i="13" s="1"/>
  <c r="I1016" i="13"/>
  <c r="J1016" i="13" s="1"/>
  <c r="I1017" i="13"/>
  <c r="J1017" i="13" s="1"/>
  <c r="I1018" i="13"/>
  <c r="J1018" i="13" s="1"/>
  <c r="I1019" i="13"/>
  <c r="J1019" i="13" s="1"/>
  <c r="I1020" i="13"/>
  <c r="J1020" i="13" s="1"/>
  <c r="I1021" i="13"/>
  <c r="J1021" i="13" s="1"/>
  <c r="I1022" i="13"/>
  <c r="J1022" i="13" s="1"/>
  <c r="I1024" i="13"/>
  <c r="J1024" i="13" s="1"/>
  <c r="I1023" i="13"/>
  <c r="J1023" i="13" s="1"/>
  <c r="I1025" i="13"/>
  <c r="J1025" i="13" s="1"/>
  <c r="I1026" i="13"/>
  <c r="J1026" i="13" s="1"/>
  <c r="I1027" i="13"/>
  <c r="J1027" i="13" s="1"/>
  <c r="I1028" i="13"/>
  <c r="J1028" i="13" s="1"/>
  <c r="I1029" i="13"/>
  <c r="J1029" i="13" s="1"/>
  <c r="J939" i="13"/>
  <c r="J387" i="13"/>
  <c r="H682" i="13"/>
  <c r="I625" i="13"/>
  <c r="I623" i="13"/>
  <c r="I627" i="13"/>
  <c r="I626" i="13"/>
  <c r="I624" i="13"/>
  <c r="I622" i="13"/>
  <c r="I628" i="13"/>
  <c r="I629" i="13"/>
  <c r="I630" i="13"/>
  <c r="I631" i="13"/>
  <c r="I632" i="13"/>
  <c r="J632" i="13" s="1"/>
  <c r="I633" i="13"/>
  <c r="J633" i="13" s="1"/>
  <c r="I634" i="13"/>
  <c r="J634" i="13" s="1"/>
  <c r="I635" i="13"/>
  <c r="J635" i="13" s="1"/>
  <c r="I636" i="13"/>
  <c r="J636" i="13" s="1"/>
  <c r="I637" i="13"/>
  <c r="J637" i="13" s="1"/>
  <c r="I638" i="13"/>
  <c r="J638" i="13" s="1"/>
  <c r="I639" i="13"/>
  <c r="J639" i="13" s="1"/>
  <c r="I640" i="13"/>
  <c r="J640" i="13" s="1"/>
  <c r="I641" i="13"/>
  <c r="J641" i="13" s="1"/>
  <c r="I642" i="13"/>
  <c r="J642" i="13" s="1"/>
  <c r="I643" i="13"/>
  <c r="J643" i="13" s="1"/>
  <c r="I644" i="13"/>
  <c r="J644" i="13" s="1"/>
  <c r="I645" i="13"/>
  <c r="J645" i="13" s="1"/>
  <c r="I646" i="13"/>
  <c r="J646" i="13" s="1"/>
  <c r="I647" i="13"/>
  <c r="J647" i="13" s="1"/>
  <c r="I648" i="13"/>
  <c r="J648" i="13" s="1"/>
  <c r="I650" i="13"/>
  <c r="J650" i="13" s="1"/>
  <c r="I649" i="13"/>
  <c r="J649" i="13" s="1"/>
  <c r="I651" i="13"/>
  <c r="J651" i="13" s="1"/>
  <c r="I652" i="13"/>
  <c r="J652" i="13" s="1"/>
  <c r="I653" i="13"/>
  <c r="J653" i="13" s="1"/>
  <c r="I654" i="13"/>
  <c r="J654" i="13" s="1"/>
  <c r="I655" i="13"/>
  <c r="J655" i="13" s="1"/>
  <c r="I656" i="13"/>
  <c r="J656" i="13" s="1"/>
  <c r="I657" i="13"/>
  <c r="J657" i="13" s="1"/>
  <c r="I658" i="13"/>
  <c r="J658" i="13" s="1"/>
  <c r="I659" i="13"/>
  <c r="J659" i="13" s="1"/>
  <c r="I660" i="13"/>
  <c r="J660" i="13" s="1"/>
  <c r="I661" i="13"/>
  <c r="J661" i="13" s="1"/>
  <c r="I662" i="13"/>
  <c r="J662" i="13" s="1"/>
  <c r="I663" i="13"/>
  <c r="J663" i="13" s="1"/>
  <c r="I664" i="13"/>
  <c r="J664" i="13" s="1"/>
  <c r="I665" i="13"/>
  <c r="J665" i="13" s="1"/>
  <c r="I666" i="13"/>
  <c r="J666" i="13" s="1"/>
  <c r="I667" i="13"/>
  <c r="J667" i="13" s="1"/>
  <c r="I668" i="13"/>
  <c r="J668" i="13" s="1"/>
  <c r="I669" i="13"/>
  <c r="J669" i="13" s="1"/>
  <c r="I670" i="13"/>
  <c r="J670" i="13" s="1"/>
  <c r="I671" i="13"/>
  <c r="J671" i="13" s="1"/>
  <c r="I672" i="13"/>
  <c r="J672" i="13" s="1"/>
  <c r="I673" i="13"/>
  <c r="J673" i="13" s="1"/>
  <c r="I674" i="13"/>
  <c r="J674" i="13" s="1"/>
  <c r="I675" i="13"/>
  <c r="J675" i="13" s="1"/>
  <c r="I676" i="13"/>
  <c r="J676" i="13" s="1"/>
  <c r="I677" i="13"/>
  <c r="J677" i="13" s="1"/>
  <c r="I678" i="13"/>
  <c r="J678" i="13" s="1"/>
  <c r="I679" i="13"/>
  <c r="J679" i="13" s="1"/>
  <c r="I680" i="13"/>
  <c r="J680" i="13" s="1"/>
  <c r="I681" i="13"/>
  <c r="J681" i="13" s="1"/>
  <c r="M1043" i="13"/>
  <c r="M1044" i="13" s="1"/>
  <c r="M1055" i="13"/>
  <c r="M372" i="13"/>
  <c r="M350" i="13"/>
  <c r="M351" i="13" s="1"/>
  <c r="G429" i="20"/>
  <c r="G786" i="20"/>
  <c r="H1114" i="13"/>
  <c r="I537" i="13"/>
  <c r="I535" i="13"/>
  <c r="I538" i="13"/>
  <c r="I536" i="13"/>
  <c r="I539" i="13"/>
  <c r="I540" i="13"/>
  <c r="I541" i="13"/>
  <c r="I542" i="13"/>
  <c r="I543" i="13"/>
  <c r="I544" i="13"/>
  <c r="I545" i="13"/>
  <c r="J545" i="13" s="1"/>
  <c r="I546" i="13"/>
  <c r="J546" i="13" s="1"/>
  <c r="I547" i="13"/>
  <c r="J547" i="13" s="1"/>
  <c r="I548" i="13"/>
  <c r="J548" i="13" s="1"/>
  <c r="I549" i="13"/>
  <c r="J549" i="13" s="1"/>
  <c r="I550" i="13"/>
  <c r="J550" i="13" s="1"/>
  <c r="I551" i="13"/>
  <c r="J551" i="13" s="1"/>
  <c r="I552" i="13"/>
  <c r="J552" i="13" s="1"/>
  <c r="I553" i="13"/>
  <c r="J553" i="13" s="1"/>
  <c r="I554" i="13"/>
  <c r="J554" i="13" s="1"/>
  <c r="I555" i="13"/>
  <c r="J555" i="13" s="1"/>
  <c r="I556" i="13"/>
  <c r="J556" i="13" s="1"/>
  <c r="I557" i="13"/>
  <c r="J557" i="13" s="1"/>
  <c r="I558" i="13"/>
  <c r="J558" i="13" s="1"/>
  <c r="I559" i="13"/>
  <c r="J559" i="13" s="1"/>
  <c r="I560" i="13"/>
  <c r="J560" i="13" s="1"/>
  <c r="I561" i="13"/>
  <c r="J561" i="13" s="1"/>
  <c r="I562" i="13"/>
  <c r="J562" i="13" s="1"/>
  <c r="I563" i="13"/>
  <c r="J563" i="13" s="1"/>
  <c r="I564" i="13"/>
  <c r="J564" i="13" s="1"/>
  <c r="I565" i="13"/>
  <c r="J565" i="13" s="1"/>
  <c r="I566" i="13"/>
  <c r="J566" i="13" s="1"/>
  <c r="I567" i="13"/>
  <c r="J567" i="13" s="1"/>
  <c r="I568" i="13"/>
  <c r="J568" i="13" s="1"/>
  <c r="I569" i="13"/>
  <c r="J569" i="13" s="1"/>
  <c r="I570" i="13"/>
  <c r="J570" i="13" s="1"/>
  <c r="I571" i="13"/>
  <c r="J571" i="13" s="1"/>
  <c r="I572" i="13"/>
  <c r="J572" i="13" s="1"/>
  <c r="I573" i="13"/>
  <c r="J573" i="13" s="1"/>
  <c r="I574" i="13"/>
  <c r="J574" i="13" s="1"/>
  <c r="I575" i="13"/>
  <c r="J575" i="13" s="1"/>
  <c r="I576" i="13"/>
  <c r="J576" i="13" s="1"/>
  <c r="I577" i="13"/>
  <c r="J577" i="13" s="1"/>
  <c r="I578" i="13"/>
  <c r="J578" i="13" s="1"/>
  <c r="I579" i="13"/>
  <c r="J579" i="13" s="1"/>
  <c r="I580" i="13"/>
  <c r="J580" i="13" s="1"/>
  <c r="I581" i="13"/>
  <c r="J581" i="13" s="1"/>
  <c r="I582" i="13"/>
  <c r="J582" i="13" s="1"/>
  <c r="I583" i="13"/>
  <c r="J583" i="13" s="1"/>
  <c r="I585" i="13"/>
  <c r="J585" i="13" s="1"/>
  <c r="I584" i="13"/>
  <c r="J584" i="13" s="1"/>
  <c r="I586" i="13"/>
  <c r="J586" i="13" s="1"/>
  <c r="I587" i="13"/>
  <c r="J587" i="13" s="1"/>
  <c r="I588" i="13"/>
  <c r="J588" i="13" s="1"/>
  <c r="I589" i="13"/>
  <c r="J589" i="13" s="1"/>
  <c r="I590" i="13"/>
  <c r="J590" i="13" s="1"/>
  <c r="I591" i="13"/>
  <c r="J591" i="13" s="1"/>
  <c r="I592" i="13"/>
  <c r="J592" i="13" s="1"/>
  <c r="I593" i="13"/>
  <c r="J593" i="13" s="1"/>
  <c r="I594" i="13"/>
  <c r="J594" i="13" s="1"/>
  <c r="J494" i="13"/>
  <c r="M796" i="13"/>
  <c r="H856" i="13"/>
  <c r="G161" i="20"/>
  <c r="J908" i="13"/>
  <c r="I1056" i="13"/>
  <c r="J1056" i="13" s="1"/>
  <c r="I1055" i="13"/>
  <c r="I1059" i="13"/>
  <c r="J1059" i="13" s="1"/>
  <c r="I1057" i="13"/>
  <c r="J1057" i="13" s="1"/>
  <c r="I1058" i="13"/>
  <c r="J1058" i="13" s="1"/>
  <c r="I1054" i="13"/>
  <c r="I1060" i="13"/>
  <c r="J1060" i="13" s="1"/>
  <c r="I1061" i="13"/>
  <c r="J1061" i="13" s="1"/>
  <c r="I1062" i="13"/>
  <c r="J1062" i="13" s="1"/>
  <c r="I1063" i="13"/>
  <c r="J1063" i="13" s="1"/>
  <c r="I1064" i="13"/>
  <c r="J1064" i="13" s="1"/>
  <c r="I1065" i="13"/>
  <c r="J1065" i="13" s="1"/>
  <c r="I1066" i="13"/>
  <c r="J1066" i="13" s="1"/>
  <c r="I1067" i="13"/>
  <c r="J1067" i="13" s="1"/>
  <c r="I1068" i="13"/>
  <c r="J1068" i="13" s="1"/>
  <c r="I1069" i="13"/>
  <c r="J1069" i="13" s="1"/>
  <c r="I1070" i="13"/>
  <c r="J1070" i="13" s="1"/>
  <c r="I1071" i="13"/>
  <c r="J1071" i="13" s="1"/>
  <c r="I1072" i="13"/>
  <c r="J1072" i="13" s="1"/>
  <c r="I1073" i="13"/>
  <c r="J1073" i="13" s="1"/>
  <c r="I1074" i="13"/>
  <c r="J1074" i="13" s="1"/>
  <c r="I1075" i="13"/>
  <c r="J1075" i="13" s="1"/>
  <c r="I1076" i="13"/>
  <c r="J1076" i="13" s="1"/>
  <c r="I1077" i="13"/>
  <c r="J1077" i="13" s="1"/>
  <c r="I1078" i="13"/>
  <c r="J1078" i="13" s="1"/>
  <c r="I1079" i="13"/>
  <c r="J1079" i="13" s="1"/>
  <c r="I1080" i="13"/>
  <c r="J1080" i="13" s="1"/>
  <c r="I1081" i="13"/>
  <c r="J1081" i="13" s="1"/>
  <c r="I1082" i="13"/>
  <c r="J1082" i="13" s="1"/>
  <c r="I1083" i="13"/>
  <c r="J1083" i="13" s="1"/>
  <c r="I1084" i="13"/>
  <c r="J1084" i="13" s="1"/>
  <c r="I1085" i="13"/>
  <c r="J1085" i="13" s="1"/>
  <c r="I1086" i="13"/>
  <c r="J1086" i="13" s="1"/>
  <c r="I1087" i="13"/>
  <c r="J1087" i="13" s="1"/>
  <c r="I1088" i="13"/>
  <c r="J1088" i="13" s="1"/>
  <c r="I1089" i="13"/>
  <c r="J1089" i="13" s="1"/>
  <c r="I1090" i="13"/>
  <c r="J1090" i="13" s="1"/>
  <c r="I1091" i="13"/>
  <c r="J1091" i="13" s="1"/>
  <c r="I1092" i="13"/>
  <c r="J1092" i="13" s="1"/>
  <c r="I1093" i="13"/>
  <c r="J1093" i="13" s="1"/>
  <c r="I1094" i="13"/>
  <c r="J1094" i="13" s="1"/>
  <c r="I1095" i="13"/>
  <c r="J1095" i="13" s="1"/>
  <c r="I1096" i="13"/>
  <c r="J1096" i="13" s="1"/>
  <c r="I1097" i="13"/>
  <c r="J1097" i="13" s="1"/>
  <c r="I1098" i="13"/>
  <c r="J1098" i="13" s="1"/>
  <c r="I1099" i="13"/>
  <c r="J1099" i="13" s="1"/>
  <c r="I1100" i="13"/>
  <c r="J1100" i="13" s="1"/>
  <c r="I1101" i="13"/>
  <c r="J1101" i="13" s="1"/>
  <c r="I1102" i="13"/>
  <c r="J1102" i="13" s="1"/>
  <c r="I1103" i="13"/>
  <c r="J1103" i="13" s="1"/>
  <c r="I1104" i="13"/>
  <c r="J1104" i="13" s="1"/>
  <c r="I1105" i="13"/>
  <c r="J1105" i="13" s="1"/>
  <c r="I1106" i="13"/>
  <c r="J1106" i="13" s="1"/>
  <c r="I1107" i="13"/>
  <c r="J1107" i="13" s="1"/>
  <c r="I1108" i="13"/>
  <c r="J1108" i="13" s="1"/>
  <c r="I1109" i="13"/>
  <c r="J1109" i="13" s="1"/>
  <c r="I1110" i="13"/>
  <c r="J1110" i="13" s="1"/>
  <c r="I1111" i="13"/>
  <c r="J1111" i="13" s="1"/>
  <c r="I1112" i="13"/>
  <c r="J1112" i="13" s="1"/>
  <c r="I1113" i="13"/>
  <c r="J1113" i="13" s="1"/>
  <c r="H508" i="13"/>
  <c r="J493" i="13"/>
  <c r="J1157" i="13"/>
  <c r="I102" i="13"/>
  <c r="J102" i="13" s="1"/>
  <c r="I104" i="13"/>
  <c r="I100" i="13"/>
  <c r="J100" i="13" s="1"/>
  <c r="I101" i="13"/>
  <c r="J101" i="13" s="1"/>
  <c r="I105" i="13"/>
  <c r="I103" i="13"/>
  <c r="J103" i="13" s="1"/>
  <c r="I106" i="13"/>
  <c r="I107" i="13"/>
  <c r="I108" i="13"/>
  <c r="I109" i="13"/>
  <c r="I110" i="13"/>
  <c r="I111" i="13"/>
  <c r="I112" i="13"/>
  <c r="I113" i="13"/>
  <c r="I114" i="13"/>
  <c r="J114" i="13" s="1"/>
  <c r="I115" i="13"/>
  <c r="J115" i="13" s="1"/>
  <c r="I116" i="13"/>
  <c r="J116" i="13" s="1"/>
  <c r="I117" i="13"/>
  <c r="J117" i="13" s="1"/>
  <c r="I118" i="13"/>
  <c r="J118" i="13" s="1"/>
  <c r="I119" i="13"/>
  <c r="J119" i="13" s="1"/>
  <c r="I120" i="13"/>
  <c r="J120" i="13" s="1"/>
  <c r="I121" i="13"/>
  <c r="J121" i="13" s="1"/>
  <c r="I122" i="13"/>
  <c r="J122" i="13" s="1"/>
  <c r="I123" i="13"/>
  <c r="J123" i="13" s="1"/>
  <c r="I124" i="13"/>
  <c r="J124" i="13" s="1"/>
  <c r="I125" i="13"/>
  <c r="J125" i="13" s="1"/>
  <c r="I126" i="13"/>
  <c r="J126" i="13" s="1"/>
  <c r="I127" i="13"/>
  <c r="J127" i="13" s="1"/>
  <c r="I128" i="13"/>
  <c r="J128" i="13" s="1"/>
  <c r="I129" i="13"/>
  <c r="J129" i="13" s="1"/>
  <c r="I130" i="13"/>
  <c r="J130" i="13" s="1"/>
  <c r="I131" i="13"/>
  <c r="J131" i="13" s="1"/>
  <c r="I132" i="13"/>
  <c r="J132" i="13" s="1"/>
  <c r="I133" i="13"/>
  <c r="J133" i="13" s="1"/>
  <c r="I134" i="13"/>
  <c r="J134" i="13" s="1"/>
  <c r="I135" i="13"/>
  <c r="J135" i="13" s="1"/>
  <c r="I136" i="13"/>
  <c r="J136" i="13" s="1"/>
  <c r="I137" i="13"/>
  <c r="J137" i="13" s="1"/>
  <c r="I138" i="13"/>
  <c r="J138" i="13" s="1"/>
  <c r="I139" i="13"/>
  <c r="J139" i="13" s="1"/>
  <c r="I140" i="13"/>
  <c r="J140" i="13" s="1"/>
  <c r="I141" i="13"/>
  <c r="J141" i="13" s="1"/>
  <c r="I142" i="13"/>
  <c r="J142" i="13" s="1"/>
  <c r="I143" i="13"/>
  <c r="J143" i="13" s="1"/>
  <c r="I144" i="13"/>
  <c r="J144" i="13" s="1"/>
  <c r="I145" i="13"/>
  <c r="J145" i="13" s="1"/>
  <c r="I146" i="13"/>
  <c r="J146" i="13" s="1"/>
  <c r="I147" i="13"/>
  <c r="J147" i="13" s="1"/>
  <c r="I148" i="13"/>
  <c r="J148" i="13" s="1"/>
  <c r="I149" i="13"/>
  <c r="J149" i="13" s="1"/>
  <c r="I150" i="13"/>
  <c r="J150" i="13" s="1"/>
  <c r="I151" i="13"/>
  <c r="J151" i="13" s="1"/>
  <c r="I152" i="13"/>
  <c r="J152" i="13" s="1"/>
  <c r="I153" i="13"/>
  <c r="J153" i="13" s="1"/>
  <c r="I154" i="13"/>
  <c r="J154" i="13" s="1"/>
  <c r="I155" i="13"/>
  <c r="J155" i="13" s="1"/>
  <c r="I156" i="13"/>
  <c r="J156" i="13" s="1"/>
  <c r="I157" i="13"/>
  <c r="J157" i="13" s="1"/>
  <c r="I158" i="13"/>
  <c r="J158" i="13" s="1"/>
  <c r="I159" i="13"/>
  <c r="G875" i="20"/>
  <c r="M785" i="13"/>
  <c r="M786" i="13" s="1"/>
  <c r="M804" i="13"/>
  <c r="H1030" i="13"/>
  <c r="M973" i="13"/>
  <c r="M959" i="13"/>
  <c r="M960" i="13" s="1"/>
  <c r="M718" i="13"/>
  <c r="M698" i="13"/>
  <c r="M699" i="13" s="1"/>
  <c r="M26" i="20"/>
  <c r="G251" i="20"/>
  <c r="J1141" i="13" l="1"/>
  <c r="O1141" i="13"/>
  <c r="P1141" i="13" s="1"/>
  <c r="J1142" i="13"/>
  <c r="O1142" i="13"/>
  <c r="P1142" i="13" s="1"/>
  <c r="J193" i="13"/>
  <c r="O193" i="13"/>
  <c r="P193" i="13" s="1"/>
  <c r="J105" i="13"/>
  <c r="O105" i="13"/>
  <c r="P105" i="13" s="1"/>
  <c r="J623" i="13"/>
  <c r="O623" i="13"/>
  <c r="P623" i="13" s="1"/>
  <c r="J280" i="13"/>
  <c r="O280" i="13"/>
  <c r="P280" i="13" s="1"/>
  <c r="J800" i="13"/>
  <c r="O800" i="13"/>
  <c r="P800" i="13" s="1"/>
  <c r="O194" i="13"/>
  <c r="P194" i="13" s="1"/>
  <c r="J194" i="13"/>
  <c r="N179" i="20"/>
  <c r="N180" i="20" s="1"/>
  <c r="I203" i="20"/>
  <c r="O364" i="13"/>
  <c r="P364" i="13" s="1"/>
  <c r="J364" i="13"/>
  <c r="O451" i="13"/>
  <c r="P451" i="13" s="1"/>
  <c r="J451" i="13"/>
  <c r="O716" i="13"/>
  <c r="P716" i="13" s="1"/>
  <c r="J716" i="13"/>
  <c r="J625" i="13"/>
  <c r="O625" i="13"/>
  <c r="P625" i="13" s="1"/>
  <c r="I557" i="20"/>
  <c r="N536" i="20"/>
  <c r="N537" i="20" s="1"/>
  <c r="J543" i="13"/>
  <c r="O543" i="13"/>
  <c r="P543" i="13" s="1"/>
  <c r="I334" i="13"/>
  <c r="J333" i="13"/>
  <c r="J189" i="13"/>
  <c r="O189" i="13"/>
  <c r="P189" i="13" s="1"/>
  <c r="N89" i="20"/>
  <c r="I114" i="20"/>
  <c r="N357" i="20"/>
  <c r="N358" i="20" s="1"/>
  <c r="I380" i="20"/>
  <c r="I815" i="20"/>
  <c r="H875" i="20"/>
  <c r="O366" i="13"/>
  <c r="P366" i="13" s="1"/>
  <c r="J366" i="13"/>
  <c r="O890" i="13"/>
  <c r="P890" i="13" s="1"/>
  <c r="J890" i="13"/>
  <c r="O713" i="13"/>
  <c r="P713" i="13" s="1"/>
  <c r="J713" i="13"/>
  <c r="O542" i="13"/>
  <c r="P542" i="13" s="1"/>
  <c r="J542" i="13"/>
  <c r="J279" i="13"/>
  <c r="O279" i="13"/>
  <c r="P279" i="13" s="1"/>
  <c r="O192" i="13"/>
  <c r="P192" i="13" s="1"/>
  <c r="J192" i="13"/>
  <c r="I637" i="20"/>
  <c r="H697" i="20"/>
  <c r="J889" i="13"/>
  <c r="O889" i="13"/>
  <c r="P889" i="13" s="1"/>
  <c r="J714" i="13"/>
  <c r="O714" i="13"/>
  <c r="P714" i="13" s="1"/>
  <c r="J190" i="13"/>
  <c r="O190" i="13"/>
  <c r="P190" i="13" s="1"/>
  <c r="J187" i="13"/>
  <c r="O187" i="13"/>
  <c r="P187" i="13" s="1"/>
  <c r="I247" i="13"/>
  <c r="O887" i="13"/>
  <c r="P887" i="13" s="1"/>
  <c r="J887" i="13"/>
  <c r="O457" i="13"/>
  <c r="P457" i="13" s="1"/>
  <c r="N437" i="13"/>
  <c r="J457" i="13"/>
  <c r="J711" i="13"/>
  <c r="O711" i="13"/>
  <c r="P711" i="13" s="1"/>
  <c r="J801" i="13"/>
  <c r="O801" i="13"/>
  <c r="P801" i="13" s="1"/>
  <c r="J365" i="13"/>
  <c r="O365" i="13"/>
  <c r="P365" i="13" s="1"/>
  <c r="O891" i="13"/>
  <c r="P891" i="13" s="1"/>
  <c r="J891" i="13"/>
  <c r="J104" i="13"/>
  <c r="O104" i="13"/>
  <c r="P104" i="13" s="1"/>
  <c r="J1055" i="13"/>
  <c r="N1043" i="13"/>
  <c r="O1055" i="13"/>
  <c r="P1055" i="13" s="1"/>
  <c r="I369" i="20"/>
  <c r="H429" i="20"/>
  <c r="O541" i="13"/>
  <c r="P541" i="13" s="1"/>
  <c r="J541" i="13"/>
  <c r="J278" i="13"/>
  <c r="O278" i="13"/>
  <c r="P278" i="13" s="1"/>
  <c r="O112" i="13"/>
  <c r="P112" i="13" s="1"/>
  <c r="J112" i="13"/>
  <c r="O540" i="13"/>
  <c r="P540" i="13" s="1"/>
  <c r="J540" i="13"/>
  <c r="J631" i="13"/>
  <c r="N611" i="13"/>
  <c r="O631" i="13"/>
  <c r="P631" i="13" s="1"/>
  <c r="O277" i="13"/>
  <c r="P277" i="13" s="1"/>
  <c r="J277" i="13"/>
  <c r="O191" i="13"/>
  <c r="P191" i="13" s="1"/>
  <c r="J191" i="13"/>
  <c r="I280" i="20"/>
  <c r="H340" i="20"/>
  <c r="J372" i="13"/>
  <c r="N350" i="13"/>
  <c r="O372" i="13"/>
  <c r="P372" i="13" s="1"/>
  <c r="O456" i="13"/>
  <c r="P456" i="13" s="1"/>
  <c r="J456" i="13"/>
  <c r="J710" i="13"/>
  <c r="O710" i="13"/>
  <c r="P710" i="13" s="1"/>
  <c r="J361" i="13"/>
  <c r="I421" i="13"/>
  <c r="O892" i="13"/>
  <c r="P892" i="13" s="1"/>
  <c r="N872" i="13"/>
  <c r="J892" i="13"/>
  <c r="J715" i="13"/>
  <c r="O715" i="13"/>
  <c r="P715" i="13" s="1"/>
  <c r="N524" i="13"/>
  <c r="O544" i="13"/>
  <c r="P544" i="13" s="1"/>
  <c r="J544" i="13"/>
  <c r="N89" i="13"/>
  <c r="O113" i="13"/>
  <c r="P113" i="13" s="1"/>
  <c r="J113" i="13"/>
  <c r="O111" i="13"/>
  <c r="P111" i="13" s="1"/>
  <c r="J111" i="13"/>
  <c r="O539" i="13"/>
  <c r="P539" i="13" s="1"/>
  <c r="J539" i="13"/>
  <c r="J630" i="13"/>
  <c r="O630" i="13"/>
  <c r="P630" i="13" s="1"/>
  <c r="O971" i="13"/>
  <c r="P971" i="13" s="1"/>
  <c r="J971" i="13"/>
  <c r="O188" i="13"/>
  <c r="P188" i="13" s="1"/>
  <c r="J188" i="13"/>
  <c r="I191" i="20"/>
  <c r="H251" i="20"/>
  <c r="I726" i="20"/>
  <c r="H786" i="20"/>
  <c r="I906" i="20"/>
  <c r="H966" i="20"/>
  <c r="N268" i="20"/>
  <c r="N269" i="20" s="1"/>
  <c r="I292" i="20"/>
  <c r="O371" i="13"/>
  <c r="P371" i="13" s="1"/>
  <c r="J371" i="13"/>
  <c r="O888" i="13"/>
  <c r="P888" i="13" s="1"/>
  <c r="J888" i="13"/>
  <c r="J455" i="13"/>
  <c r="O455" i="13"/>
  <c r="P455" i="13" s="1"/>
  <c r="O712" i="13"/>
  <c r="P712" i="13" s="1"/>
  <c r="J712" i="13"/>
  <c r="J709" i="13"/>
  <c r="O709" i="13"/>
  <c r="P709" i="13" s="1"/>
  <c r="I769" i="13"/>
  <c r="O536" i="13"/>
  <c r="P536" i="13" s="1"/>
  <c r="J536" i="13"/>
  <c r="O286" i="13"/>
  <c r="P286" i="13" s="1"/>
  <c r="N263" i="13"/>
  <c r="J286" i="13"/>
  <c r="N785" i="13"/>
  <c r="O804" i="13"/>
  <c r="P804" i="13" s="1"/>
  <c r="J804" i="13"/>
  <c r="I915" i="20"/>
  <c r="N894" i="20"/>
  <c r="N895" i="20" s="1"/>
  <c r="O370" i="13"/>
  <c r="P370" i="13" s="1"/>
  <c r="J370" i="13"/>
  <c r="J886" i="13"/>
  <c r="O886" i="13"/>
  <c r="P886" i="13" s="1"/>
  <c r="J454" i="13"/>
  <c r="O454" i="13"/>
  <c r="P454" i="13" s="1"/>
  <c r="O276" i="13"/>
  <c r="P276" i="13" s="1"/>
  <c r="J276" i="13"/>
  <c r="O109" i="13"/>
  <c r="P109" i="13" s="1"/>
  <c r="J109" i="13"/>
  <c r="J538" i="13"/>
  <c r="O538" i="13"/>
  <c r="P538" i="13" s="1"/>
  <c r="O628" i="13"/>
  <c r="P628" i="13" s="1"/>
  <c r="J628" i="13"/>
  <c r="J970" i="13"/>
  <c r="I1030" i="13"/>
  <c r="O285" i="13"/>
  <c r="P285" i="13" s="1"/>
  <c r="J285" i="13"/>
  <c r="J803" i="13"/>
  <c r="O803" i="13"/>
  <c r="P803" i="13" s="1"/>
  <c r="O199" i="13"/>
  <c r="P199" i="13" s="1"/>
  <c r="J199" i="13"/>
  <c r="N176" i="13"/>
  <c r="I646" i="20"/>
  <c r="N625" i="20"/>
  <c r="N626" i="20" s="1"/>
  <c r="N714" i="20"/>
  <c r="N715" i="20" s="1"/>
  <c r="I735" i="20"/>
  <c r="O369" i="13"/>
  <c r="P369" i="13" s="1"/>
  <c r="J369" i="13"/>
  <c r="O453" i="13"/>
  <c r="P453" i="13" s="1"/>
  <c r="J453" i="13"/>
  <c r="J797" i="13"/>
  <c r="O797" i="13"/>
  <c r="P797" i="13" s="1"/>
  <c r="J110" i="13"/>
  <c r="O110" i="13"/>
  <c r="P110" i="13" s="1"/>
  <c r="J629" i="13"/>
  <c r="O629" i="13"/>
  <c r="P629" i="13" s="1"/>
  <c r="O108" i="13"/>
  <c r="P108" i="13" s="1"/>
  <c r="J108" i="13"/>
  <c r="O535" i="13"/>
  <c r="P535" i="13" s="1"/>
  <c r="J535" i="13"/>
  <c r="I595" i="13"/>
  <c r="O622" i="13"/>
  <c r="P622" i="13" s="1"/>
  <c r="J622" i="13"/>
  <c r="I682" i="13"/>
  <c r="J972" i="13"/>
  <c r="O972" i="13"/>
  <c r="P972" i="13" s="1"/>
  <c r="O284" i="13"/>
  <c r="P284" i="13" s="1"/>
  <c r="J284" i="13"/>
  <c r="J802" i="13"/>
  <c r="O802" i="13"/>
  <c r="P802" i="13" s="1"/>
  <c r="J198" i="13"/>
  <c r="O198" i="13"/>
  <c r="P198" i="13" s="1"/>
  <c r="I101" i="20"/>
  <c r="H161" i="20"/>
  <c r="I468" i="20"/>
  <c r="N447" i="20"/>
  <c r="N448" i="20" s="1"/>
  <c r="I459" i="20"/>
  <c r="H519" i="20"/>
  <c r="O368" i="13"/>
  <c r="P368" i="13" s="1"/>
  <c r="J368" i="13"/>
  <c r="J883" i="13"/>
  <c r="I943" i="13"/>
  <c r="J452" i="13"/>
  <c r="O452" i="13"/>
  <c r="P452" i="13" s="1"/>
  <c r="I160" i="13"/>
  <c r="J159" i="13"/>
  <c r="O107" i="13"/>
  <c r="P107" i="13" s="1"/>
  <c r="J107" i="13"/>
  <c r="O537" i="13"/>
  <c r="P537" i="13" s="1"/>
  <c r="J537" i="13"/>
  <c r="J624" i="13"/>
  <c r="O624" i="13"/>
  <c r="P624" i="13" s="1"/>
  <c r="N959" i="13"/>
  <c r="J973" i="13"/>
  <c r="O973" i="13"/>
  <c r="P973" i="13" s="1"/>
  <c r="J283" i="13"/>
  <c r="O283" i="13"/>
  <c r="P283" i="13" s="1"/>
  <c r="J796" i="13"/>
  <c r="O796" i="13"/>
  <c r="P796" i="13" s="1"/>
  <c r="I856" i="13"/>
  <c r="O197" i="13"/>
  <c r="P197" i="13" s="1"/>
  <c r="J197" i="13"/>
  <c r="J367" i="13"/>
  <c r="O367" i="13"/>
  <c r="P367" i="13" s="1"/>
  <c r="J450" i="13"/>
  <c r="O450" i="13"/>
  <c r="P450" i="13" s="1"/>
  <c r="N22" i="13"/>
  <c r="M90" i="13"/>
  <c r="J626" i="13"/>
  <c r="O626" i="13"/>
  <c r="P626" i="13" s="1"/>
  <c r="J282" i="13"/>
  <c r="O282" i="13"/>
  <c r="P282" i="13" s="1"/>
  <c r="O799" i="13"/>
  <c r="P799" i="13" s="1"/>
  <c r="J799" i="13"/>
  <c r="J1139" i="13"/>
  <c r="N1127" i="13"/>
  <c r="O1139" i="13"/>
  <c r="P1139" i="13" s="1"/>
  <c r="O196" i="13"/>
  <c r="P196" i="13" s="1"/>
  <c r="J196" i="13"/>
  <c r="N803" i="20"/>
  <c r="N804" i="20" s="1"/>
  <c r="I823" i="20"/>
  <c r="I548" i="20"/>
  <c r="H608" i="20"/>
  <c r="J362" i="13"/>
  <c r="O362" i="13"/>
  <c r="P362" i="13" s="1"/>
  <c r="J448" i="13"/>
  <c r="O448" i="13"/>
  <c r="P448" i="13" s="1"/>
  <c r="I508" i="13"/>
  <c r="O718" i="13"/>
  <c r="P718" i="13" s="1"/>
  <c r="J718" i="13"/>
  <c r="N698" i="13"/>
  <c r="J275" i="13"/>
  <c r="O275" i="13"/>
  <c r="P275" i="13" s="1"/>
  <c r="J274" i="13"/>
  <c r="O274" i="13"/>
  <c r="P274" i="13" s="1"/>
  <c r="J106" i="13"/>
  <c r="O106" i="13"/>
  <c r="P106" i="13" s="1"/>
  <c r="J1054" i="13"/>
  <c r="O1054" i="13"/>
  <c r="P1054" i="13" s="1"/>
  <c r="I1114" i="13"/>
  <c r="J627" i="13"/>
  <c r="O627" i="13"/>
  <c r="P627" i="13" s="1"/>
  <c r="J281" i="13"/>
  <c r="O281" i="13"/>
  <c r="P281" i="13" s="1"/>
  <c r="O798" i="13"/>
  <c r="P798" i="13" s="1"/>
  <c r="J798" i="13"/>
  <c r="O1138" i="13"/>
  <c r="P1138" i="13" s="1"/>
  <c r="J1138" i="13"/>
  <c r="I1198" i="13"/>
  <c r="O195" i="13"/>
  <c r="P195" i="13" s="1"/>
  <c r="J195" i="13"/>
  <c r="O363" i="13"/>
  <c r="P363" i="13" s="1"/>
  <c r="J363" i="13"/>
  <c r="O449" i="13"/>
  <c r="P449" i="13" s="1"/>
  <c r="J449" i="13"/>
  <c r="J717" i="13"/>
  <c r="O717" i="13"/>
  <c r="P717" i="13" s="1"/>
  <c r="J1114" i="13" l="1"/>
  <c r="J1198" i="13"/>
  <c r="I608" i="20"/>
  <c r="I966" i="20"/>
  <c r="I519" i="20"/>
  <c r="J943" i="13"/>
  <c r="J421" i="13"/>
  <c r="I697" i="20"/>
  <c r="J1030" i="13"/>
  <c r="J508" i="13"/>
  <c r="J682" i="13"/>
  <c r="J769" i="13"/>
  <c r="J595" i="13"/>
  <c r="I786" i="20"/>
  <c r="J247" i="13"/>
  <c r="O437" i="13"/>
  <c r="O438" i="13" s="1"/>
  <c r="N438" i="13"/>
  <c r="O698" i="13"/>
  <c r="O699" i="13" s="1"/>
  <c r="N699" i="13"/>
  <c r="O1043" i="13"/>
  <c r="O1044" i="13" s="1"/>
  <c r="N1044" i="13"/>
  <c r="O22" i="13"/>
  <c r="N90" i="13"/>
  <c r="O89" i="13"/>
  <c r="O90" i="13" s="1"/>
  <c r="N612" i="13"/>
  <c r="O611" i="13"/>
  <c r="O612" i="13" s="1"/>
  <c r="N525" i="13"/>
  <c r="O524" i="13"/>
  <c r="O525" i="13" s="1"/>
  <c r="I161" i="20"/>
  <c r="J856" i="13"/>
  <c r="N90" i="20"/>
  <c r="N26" i="20"/>
  <c r="O26" i="20" s="1"/>
  <c r="L36" i="2" s="1"/>
  <c r="O1127" i="13"/>
  <c r="O1128" i="13" s="1"/>
  <c r="N1128" i="13"/>
  <c r="N351" i="13"/>
  <c r="O350" i="13"/>
  <c r="O351" i="13" s="1"/>
  <c r="N264" i="13"/>
  <c r="O263" i="13"/>
  <c r="O264" i="13" s="1"/>
  <c r="J160" i="13"/>
  <c r="O785" i="13"/>
  <c r="O786" i="13" s="1"/>
  <c r="N786" i="13"/>
  <c r="N177" i="13"/>
  <c r="O176" i="13"/>
  <c r="O177" i="13" s="1"/>
  <c r="I875" i="20"/>
  <c r="N23" i="13"/>
  <c r="G24" i="2"/>
  <c r="L24" i="2" s="1"/>
  <c r="O872" i="13"/>
  <c r="O873" i="13" s="1"/>
  <c r="N873" i="13"/>
  <c r="J334" i="13"/>
  <c r="I429" i="20"/>
  <c r="N960" i="13"/>
  <c r="O959" i="13"/>
  <c r="O960" i="13" s="1"/>
  <c r="I340" i="20"/>
  <c r="I251" i="20"/>
  <c r="P22" i="13" l="1"/>
  <c r="P23" i="13" s="1"/>
  <c r="O23" i="13"/>
</calcChain>
</file>

<file path=xl/sharedStrings.xml><?xml version="1.0" encoding="utf-8"?>
<sst xmlns="http://schemas.openxmlformats.org/spreadsheetml/2006/main" count="3115" uniqueCount="1098">
  <si>
    <t>Other Adjustments</t>
  </si>
  <si>
    <t xml:space="preserve">           Acct. 928 - Transmission Specific</t>
  </si>
  <si>
    <t>FERC FORM 1</t>
  </si>
  <si>
    <t>Tie-Back</t>
  </si>
  <si>
    <t>FERC FORM 1 Reference</t>
  </si>
  <si>
    <t xml:space="preserve">NOTE 1: The detail of each total company number and its source in the FERC Form 1 is shown on WS H-1. </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</si>
  <si>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</si>
  <si>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</si>
  <si>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</si>
  <si>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</si>
  <si>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</si>
  <si>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</si>
  <si>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r>
      <t>Accounts  4470004 &amp; 5, Revenues from Grandfathered Transmission Contracts</t>
    </r>
    <r>
      <rPr>
        <b/>
        <sz val="10"/>
        <rFont val="Arial"/>
        <family val="2"/>
      </rPr>
      <t xml:space="preserve"> - (Company Records - Note 1)</t>
    </r>
  </si>
  <si>
    <t xml:space="preserve">**  This is the total amount that needs to be reported to PJM for billing to all regions. </t>
  </si>
  <si>
    <r>
      <t xml:space="preserve">## </t>
    </r>
    <r>
      <rPr>
        <b/>
        <sz val="10"/>
        <rFont val="Arial"/>
        <family val="2"/>
      </rPr>
      <t>This is the calculation of  additional incentive revenue on projects deemed by the FERC to be eligible for an incentive return.  This</t>
    </r>
  </si>
  <si>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</si>
  <si>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</si>
  <si>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Senior Unsecured Notes (112.21.c&amp;d) Excludes Spent Nuc Fuel Disp Fund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</si>
  <si>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</si>
  <si>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</si>
  <si>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</si>
  <si>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</si>
  <si>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</si>
  <si>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LT Advances from Assoc. Companies  (112.20.c&amp;d)</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</si>
  <si>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</si>
  <si>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</si>
  <si>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</si>
  <si>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</si>
  <si>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</si>
  <si>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</si>
  <si>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The total-company balances shown for Accounts 281, 282, 283, 190 only reflect ADIT that relates to utility operations. The balance of Account 255 is reduced by prior flow</t>
  </si>
  <si>
    <t>N</t>
  </si>
  <si>
    <t xml:space="preserve">  Customer Related Expense</t>
  </si>
  <si>
    <t>PLANT</t>
  </si>
  <si>
    <t>ACCT.</t>
  </si>
  <si>
    <t>RATES</t>
  </si>
  <si>
    <t xml:space="preserve"> TRANSMISSION PLANT</t>
  </si>
  <si>
    <t xml:space="preserve">  Structures &amp; Improvements</t>
  </si>
  <si>
    <t xml:space="preserve">  Station Equipment</t>
  </si>
  <si>
    <t xml:space="preserve">  Towers &amp; Fixtures</t>
  </si>
  <si>
    <t xml:space="preserve">  Poles &amp; Fixtures</t>
  </si>
  <si>
    <t xml:space="preserve">  Overhead Conductor</t>
  </si>
  <si>
    <t xml:space="preserve">  Underground Conduit</t>
  </si>
  <si>
    <t xml:space="preserve">  Underground Conductors</t>
  </si>
  <si>
    <t>Composite Depreciation (Ln 3 / Ln 4)</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</si>
  <si>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</si>
  <si>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</si>
  <si>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</si>
  <si>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</si>
  <si>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</si>
  <si>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</si>
  <si>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</si>
  <si>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</si>
  <si>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</si>
  <si>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 xml:space="preserve">  Land Rights</t>
  </si>
  <si>
    <t>Incentive Amounts</t>
  </si>
  <si>
    <t>Long Term Debt</t>
  </si>
  <si>
    <t>Preferred Stock</t>
  </si>
  <si>
    <t>R =</t>
  </si>
  <si>
    <t>PROJECTED YEAR</t>
  </si>
  <si>
    <t xml:space="preserve">   R   (fom A. above)</t>
  </si>
  <si>
    <t xml:space="preserve">   Return (Rate Base  x  R)</t>
  </si>
  <si>
    <t xml:space="preserve">   Return   (from B. above)</t>
  </si>
  <si>
    <t xml:space="preserve">   Income Tax Calculation  (Return  x  CIT)</t>
  </si>
  <si>
    <t xml:space="preserve">   Income Taxes</t>
  </si>
  <si>
    <r>
      <t>NOTE:  The balance of fair value hedges on outstanding long term debt are to be excluded from the balance of long term debt included in the formula's capital structure. (</t>
    </r>
    <r>
      <rPr>
        <sz val="10"/>
        <color indexed="17"/>
        <rFont val="Arial"/>
        <family val="2"/>
      </rPr>
      <t>p. 257,</t>
    </r>
    <r>
      <rPr>
        <sz val="10"/>
        <rFont val="Arial"/>
        <family val="2"/>
      </rPr>
      <t xml:space="preserve"> Column H of the FF1)</t>
    </r>
  </si>
  <si>
    <r>
      <t>NOTE:  The balance of fair value hedges on outstanding long term debt are to be excluded from the balance of long term debt included in the formula's capital structure. (</t>
    </r>
    <r>
      <rPr>
        <sz val="10"/>
        <color indexed="17"/>
        <rFont val="Arial"/>
        <family val="2"/>
      </rPr>
      <t xml:space="preserve">p. 257, </t>
    </r>
    <r>
      <rPr>
        <sz val="10"/>
        <rFont val="Arial"/>
        <family val="2"/>
      </rPr>
      <t>Column H of the FF1)</t>
    </r>
  </si>
  <si>
    <t>Total Long Term Debt Balance</t>
  </si>
  <si>
    <t>LTD Interest Expense</t>
  </si>
  <si>
    <t>ACTUAL WEIGHTED AVG COST OF CAPITAL</t>
  </si>
  <si>
    <t xml:space="preserve">   Income Taxes  (from I.C. above)</t>
  </si>
  <si>
    <t>Calculation of Composite Depreciation Rate</t>
  </si>
  <si>
    <t>Composite Depreciation Rate</t>
  </si>
  <si>
    <t>Depreciable Life for Composite Depreciation Rate</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</si>
  <si>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</si>
  <si>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</si>
  <si>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</si>
  <si>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</si>
  <si>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</si>
  <si>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</si>
  <si>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</si>
  <si>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</si>
  <si>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</si>
  <si>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</si>
  <si>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</si>
  <si>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</si>
  <si>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</si>
  <si>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</si>
  <si>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</si>
  <si>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</si>
  <si>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</si>
  <si>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</si>
  <si>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</si>
  <si>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</si>
  <si>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</si>
  <si>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</si>
  <si>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</si>
  <si>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</si>
  <si>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</si>
  <si>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</si>
  <si>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</si>
  <si>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</si>
  <si>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</si>
  <si>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</si>
  <si>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</si>
  <si>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</si>
  <si>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</si>
  <si>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</si>
  <si>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The company will not include the ADIT portion of deferred hedge gains and losses in rate base.</t>
  </si>
  <si>
    <t xml:space="preserve">  Prepayments (Account 165) - Transmission Only</t>
  </si>
  <si>
    <t>Account</t>
  </si>
  <si>
    <t>Gross Receipts Tax</t>
  </si>
  <si>
    <t>Federal Excise Tax</t>
  </si>
  <si>
    <t xml:space="preserve">________ Tax Rate </t>
  </si>
  <si>
    <t>Property</t>
  </si>
  <si>
    <t>Non-Allocable</t>
  </si>
  <si>
    <t xml:space="preserve"> Total Taxes by Allocable Basis</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</si>
  <si>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</si>
  <si>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</si>
  <si>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</si>
  <si>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</si>
  <si>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</si>
  <si>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</si>
  <si>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</si>
  <si>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</si>
  <si>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</si>
  <si>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</si>
  <si>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</si>
  <si>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</si>
  <si>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</si>
  <si>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</si>
  <si>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</si>
  <si>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</si>
  <si>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</si>
  <si>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</si>
  <si>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</si>
  <si>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</si>
  <si>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</si>
  <si>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</si>
  <si>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</si>
  <si>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</si>
  <si>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</si>
  <si>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</si>
  <si>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</si>
  <si>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</si>
  <si>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</si>
  <si>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</si>
  <si>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</si>
  <si>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</si>
  <si>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</si>
  <si>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</si>
  <si>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</si>
  <si>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</si>
  <si>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</si>
  <si>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</si>
  <si>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</si>
  <si>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</si>
  <si>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Actual (Uncapped) Capital Structure</t>
  </si>
  <si>
    <t>Expenses reported for these A&amp;G accounts will be included in the cost of service only to the extent they are directly assignable to transmission service. Worksheet F allocates</t>
  </si>
  <si>
    <t>RTEP Rev. Req't.</t>
  </si>
  <si>
    <t xml:space="preserve">          TEMPLATE BELOW TO MAINTAIN HISTORY OF PROJECTED ARRS OVER THE </t>
  </si>
  <si>
    <t>RTEP Projected Rev. Req't.From Prior Year WS J</t>
  </si>
  <si>
    <t>been removed from ratebase. Transmission ADIT allocations are shown on WS B.</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</si>
  <si>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</si>
  <si>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</si>
  <si>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</si>
  <si>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</si>
  <si>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</si>
  <si>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</si>
  <si>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</si>
  <si>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</si>
  <si>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</si>
  <si>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</si>
  <si>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</si>
  <si>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</si>
  <si>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</si>
  <si>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</si>
  <si>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</si>
  <si>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General Plant ARO (Enter Negative) </t>
  </si>
  <si>
    <t xml:space="preserve">  Less: Transmission ARO (Enter Negative) </t>
  </si>
  <si>
    <t>FF1, page 219, ln 25, Col. (b)</t>
  </si>
  <si>
    <t>(Total Company Amount Ties to FFI p.114, Ln 14,(c))</t>
  </si>
  <si>
    <t>561.1 - Load Dispatch - Reliability</t>
  </si>
  <si>
    <t>561.2 - Load Dispatch - Monitor &amp; Operate Trans System</t>
  </si>
  <si>
    <t>561.3 - Load Dispatch - Trans Service &amp; Scheduling</t>
  </si>
  <si>
    <t>FF1 p 321.85.b</t>
  </si>
  <si>
    <t>FF1 p 321.86.b</t>
  </si>
  <si>
    <t>FF1 p 321.87.b</t>
  </si>
  <si>
    <t>FF1 p 321.88.b</t>
  </si>
  <si>
    <t>FF1 p 321.89.b</t>
  </si>
  <si>
    <t>FF1 p 321.90.b</t>
  </si>
  <si>
    <t>FF1 p 321.91.b</t>
  </si>
  <si>
    <t>561.4 - Scheduling, System Control &amp; Dispatch</t>
  </si>
  <si>
    <t>FF1 p 321.92.b</t>
  </si>
  <si>
    <t>Total of Account 561</t>
  </si>
  <si>
    <t>561.5 -  Reliability, Planning and Standards Development</t>
  </si>
  <si>
    <t>561.6 - Transmission Service Studies</t>
  </si>
  <si>
    <t>561.7 - Generation Interconnection Studies</t>
  </si>
  <si>
    <t>561.8 -  Reliability, Planning and Standards Development Services</t>
  </si>
  <si>
    <t>Detail of Account 561 Per FERC Form 1</t>
  </si>
  <si>
    <t>Apportionment Factors are determined as part of the Company's annual tax return for that jurisdiction.</t>
  </si>
  <si>
    <t>T</t>
  </si>
  <si>
    <t>Total O&amp;M Allocable to Transmission</t>
  </si>
  <si>
    <t>Transmission Cost of Service Formula Rate</t>
  </si>
  <si>
    <t xml:space="preserve"> O &amp; M EXPENSE SUBTOTAL</t>
  </si>
  <si>
    <t>321.112.b</t>
  </si>
  <si>
    <t>322.131.b</t>
  </si>
  <si>
    <t>323.185.b</t>
  </si>
  <si>
    <t>336.7.f</t>
  </si>
  <si>
    <t>336.10.f</t>
  </si>
  <si>
    <t>336.1.f</t>
  </si>
  <si>
    <t>(Note N)</t>
  </si>
  <si>
    <t xml:space="preserve"> (Note O)</t>
  </si>
  <si>
    <t xml:space="preserve">       and FIT, SIT &amp; p are as given in Note O.</t>
  </si>
  <si>
    <t>354.24,25,26.b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</si>
  <si>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</si>
  <si>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</si>
  <si>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</si>
  <si>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</si>
  <si>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</si>
  <si>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</si>
  <si>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State Business &amp; Occupation Tax</t>
  </si>
  <si>
    <t>State Severance Taxes</t>
  </si>
  <si>
    <t>AEP OPERATING COMPANIES' COMPOSITE (Note S)</t>
  </si>
  <si>
    <t xml:space="preserve">Worksheet  - P </t>
  </si>
  <si>
    <t>DEPRECIATION RATES</t>
  </si>
  <si>
    <t>FOR TRANSMISSION PLANT PROPERTY ACCOUNTS</t>
  </si>
  <si>
    <t>Amortization Period</t>
  </si>
  <si>
    <t>HEDGE AMOUNTS BY ISSUANCE (FROM p. 256-257 (i) of the FERC Form 1)</t>
  </si>
  <si>
    <t>Remaining Unamortized Balance</t>
  </si>
  <si>
    <t>Average (Ln 1+ Ln 2)/2</t>
  </si>
  <si>
    <t>FF1, page 207 Col.(g) &amp; pg. 206 Col. (b), ln 58</t>
  </si>
  <si>
    <t>FF1, page 207 Col.(g) &amp; pg. 206 Col. (b), ln 57</t>
  </si>
  <si>
    <t>FF1, page 207 Col.(g) &amp; pg. 206 Col. (b), ln 99</t>
  </si>
  <si>
    <t>FF1, page 207 Col.(g) &amp; pg. 206 Col. (b), ln 98</t>
  </si>
  <si>
    <t>FF1, page 205 Col.(g) &amp; pg. 204 Col. (b), ln 5</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</si>
  <si>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</si>
  <si>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</si>
  <si>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</si>
  <si>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</si>
  <si>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</si>
  <si>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</si>
  <si>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</si>
  <si>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</si>
  <si>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</si>
  <si>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</si>
  <si>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</si>
  <si>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</si>
  <si>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Relative Valuation Factor</t>
  </si>
  <si>
    <t>Taxable Property Basis</t>
  </si>
  <si>
    <t>Functional Property Tax Allocation</t>
  </si>
  <si>
    <t>Real and Personal Property - Other Jurisdictions</t>
  </si>
  <si>
    <t>REVENUE REQUIREMENT For All Company Facilities</t>
  </si>
  <si>
    <t>Net (Gain)/Loss Hedge Amortization To Be Removed</t>
  </si>
  <si>
    <t xml:space="preserve"> Worksheet H page 2 Form 1 Source Reference of Company Amounts on WS H</t>
  </si>
  <si>
    <t xml:space="preserve"> Worksheet H page 1 Supporting Taxes Other than Income</t>
  </si>
  <si>
    <t>Worksheet Q Page 1</t>
  </si>
  <si>
    <t>Worksheet Q Page 2</t>
  </si>
  <si>
    <t>Worksheet Q Page 3</t>
  </si>
  <si>
    <t>Interest Expense (Company Records - Note 1)</t>
  </si>
  <si>
    <t xml:space="preserve">ITC Balances Includeable in Ratebase </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</si>
  <si>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</si>
  <si>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</si>
  <si>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</si>
  <si>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</si>
  <si>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</si>
  <si>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 xml:space="preserve">NOTE 2 </t>
  </si>
  <si>
    <t xml:space="preserve">ADIT balances should exclude balances related to hedging activity. </t>
  </si>
  <si>
    <t>Annual Tax Expenses by Type (Note 1)</t>
  </si>
  <si>
    <t>FF1, p. 266-267, ln 8, Col. (h)</t>
  </si>
  <si>
    <t xml:space="preserve"> Worksheet B Supporting ADIT and ITC Balances</t>
  </si>
  <si>
    <t>additional incentive requirement is applicable for the life of this specific project.  Each year the revenue requirement calculated for PJM</t>
  </si>
  <si>
    <t>Capital Structure Percentages</t>
  </si>
  <si>
    <t>FERC</t>
  </si>
  <si>
    <t>Revenue credits include:</t>
  </si>
  <si>
    <t>3) Rental revenues earned on assets included in the rate base.</t>
  </si>
  <si>
    <t>4) Revenues for associated business projects provided by employees whose labor and overhead costs are in the transmission cost of service.</t>
  </si>
  <si>
    <t xml:space="preserve">these expense items. Acct 928 Includes Regulatory Commission expenses itemized in FERC Form-1 at page 351, column H.  FERC Assessment Fees and Annual Charges </t>
  </si>
  <si>
    <t xml:space="preserve">shall not be allocated to transmission.  Only safety-related and educational advertising costs in Account 930.1 are included in the TCOS. Account 930.2 includes the </t>
  </si>
  <si>
    <t>expenses incurred by the transmission function for Associated Business Development revenues given as a credit to the TCOS on Worksheet E.</t>
  </si>
  <si>
    <t xml:space="preserve">     Plus: Transmission Lease Payments To Affiliates in Acct 565 (Company Records) (Note H)</t>
  </si>
  <si>
    <t>See Worksheet E for details.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</si>
  <si>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</si>
  <si>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</si>
  <si>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</si>
  <si>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</si>
  <si>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 xml:space="preserve"> Worksheet F Supporting Allocation of Specific O&amp;M or  A&amp;G Expenses</t>
  </si>
  <si>
    <t>throughs and is completely excluded if the utility chose to utilize amortization of tax credits against FIT expense. An exception to this is pre-1971 ITC balances, which are</t>
  </si>
  <si>
    <t>T =  Transmission</t>
  </si>
  <si>
    <t>G = General</t>
  </si>
  <si>
    <t>(Gain) / Loss</t>
  </si>
  <si>
    <t>Worksheet C Supporting Working Capital Rate Base Adjustments</t>
  </si>
  <si>
    <t>Regulatory O&amp;M Deferrals &amp; Amortizations</t>
  </si>
  <si>
    <t>required to be taken as an offset to rate base. Account 281 is not allocated.  In compliance with FERC Rulemaking RM02-7-000, Asset Retirement Obligation deferrals have</t>
  </si>
  <si>
    <t>(Note E)</t>
  </si>
  <si>
    <t>Note 1</t>
  </si>
  <si>
    <t>(I)</t>
  </si>
  <si>
    <t xml:space="preserve">Average of </t>
  </si>
  <si>
    <t>Balances</t>
  </si>
  <si>
    <t xml:space="preserve">Subtotal - Form 1, p 111.57.c  </t>
  </si>
  <si>
    <t>(FF1 p.114, ln 19.c)</t>
  </si>
  <si>
    <t xml:space="preserve">  (State Income Tax Rate or Composite SIT.  Worksheet G))</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</si>
  <si>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</si>
  <si>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</si>
  <si>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</si>
  <si>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</si>
  <si>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</si>
  <si>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</si>
  <si>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</si>
  <si>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</si>
  <si>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</si>
  <si>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</si>
  <si>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</si>
  <si>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</si>
  <si>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</si>
  <si>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</si>
  <si>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</si>
  <si>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</si>
  <si>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</si>
  <si>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</si>
  <si>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 xml:space="preserve"> Line Deliberately Left Blank</t>
  </si>
  <si>
    <t xml:space="preserve"> Lines 24-58 Column (B) Deliberately Left Blank</t>
  </si>
  <si>
    <t xml:space="preserve"> Lines 24-58 Column (D) Deliberately Left Blank</t>
  </si>
  <si>
    <t>Line Left Deliberately Blank</t>
  </si>
  <si>
    <t>Transmission Materials &amp; Supplies</t>
  </si>
  <si>
    <t>General Materials &amp; Supplies</t>
  </si>
  <si>
    <t xml:space="preserve">  Stores Expense </t>
  </si>
  <si>
    <t>Excludable</t>
  </si>
  <si>
    <t>Source of Data</t>
  </si>
  <si>
    <t>AEPTCo subsidiaries in PJM</t>
  </si>
  <si>
    <t>Plant Held For Future Use</t>
  </si>
  <si>
    <t>( C )</t>
  </si>
  <si>
    <t>General Notes:  a)  References to data from Worksheets are indicated as:  Worksheet X, Line#.Column.X</t>
  </si>
  <si>
    <t>NOTE 1</t>
  </si>
  <si>
    <t>Company Records - Note 1</t>
  </si>
  <si>
    <t>Subtotal - Other Operating Revenues (Company Total equals (FF1 p. 300.26.(b))</t>
  </si>
  <si>
    <t xml:space="preserve"> Worksheet G Supporting - Development of Composite State Income Tax Rate</t>
  </si>
  <si>
    <t>Revenue Credits to Generators (Company Records - Note 1)</t>
  </si>
  <si>
    <t>Accounting Adjustment  (Company Records - Note 1)</t>
  </si>
  <si>
    <t>Average Balance of Common Equity</t>
  </si>
  <si>
    <t>Development of Cost of  Long Term Debt Based on Average Outstanding Balance</t>
  </si>
  <si>
    <t>Amort of Debt Discount &amp; Expense (117.63.c)</t>
  </si>
  <si>
    <t>Amort of Loss on Reacquired Debt (117.64.c)</t>
  </si>
  <si>
    <t>Less: Amort of Premium on Debt (117.65.c)</t>
  </si>
  <si>
    <t>Less: Amort of Gain on Reacquired Debt (117.66.c)</t>
  </si>
  <si>
    <t>Development of Cost of Preferred Stock</t>
  </si>
  <si>
    <t>Bonds (112.18.c&amp;d)</t>
  </si>
  <si>
    <t>Less: Reacquired Bonds (112.19.c&amp;d)</t>
  </si>
  <si>
    <t>Interest on Long Term Debt (256-257.33.i)</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</si>
  <si>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</si>
  <si>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</si>
  <si>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</si>
  <si>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</si>
  <si>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</si>
  <si>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</si>
  <si>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</si>
  <si>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</si>
  <si>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</si>
  <si>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</si>
  <si>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</si>
  <si>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</si>
  <si>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</si>
  <si>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</si>
  <si>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Non-</t>
  </si>
  <si>
    <t xml:space="preserve">IPP CONTRIBUTIONS FOR CONSTRUCTION  </t>
  </si>
  <si>
    <t>TAXES OTHER THAN INCOME</t>
  </si>
  <si>
    <t>TOTAL OTHER TAXES</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</si>
  <si>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</si>
  <si>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</si>
  <si>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</si>
  <si>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</si>
  <si>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</si>
  <si>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</si>
  <si>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</si>
  <si>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</si>
  <si>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</si>
  <si>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</si>
  <si>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</si>
  <si>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</si>
  <si>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</si>
  <si>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</si>
  <si>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</si>
  <si>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</si>
  <si>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</si>
  <si>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</si>
  <si>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</si>
  <si>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</si>
  <si>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</si>
  <si>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</si>
  <si>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</si>
  <si>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</si>
  <si>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</si>
  <si>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</si>
  <si>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</si>
  <si>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</si>
  <si>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</si>
  <si>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</si>
  <si>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</si>
  <si>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</si>
  <si>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</si>
  <si>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</si>
  <si>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</si>
  <si>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</si>
  <si>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</si>
  <si>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</si>
  <si>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</si>
  <si>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Michigan Single Business Tax</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</si>
  <si>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</si>
  <si>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</si>
  <si>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</si>
  <si>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</si>
  <si>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</si>
  <si>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</si>
  <si>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</si>
  <si>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</si>
  <si>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</si>
  <si>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</si>
  <si>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</si>
  <si>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</si>
  <si>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</si>
  <si>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</si>
  <si>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</si>
  <si>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</si>
  <si>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</si>
  <si>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</si>
  <si>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</si>
  <si>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NA</t>
  </si>
  <si>
    <t xml:space="preserve">  Transmission</t>
  </si>
  <si>
    <t>DA</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</si>
  <si>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</si>
  <si>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</si>
  <si>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</si>
  <si>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</si>
  <si>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</si>
  <si>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</si>
  <si>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</si>
  <si>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</si>
  <si>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</si>
  <si>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</si>
  <si>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</si>
  <si>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</si>
  <si>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</si>
  <si>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</si>
  <si>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</si>
  <si>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</si>
  <si>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</si>
  <si>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</si>
  <si>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</si>
  <si>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</si>
  <si>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</si>
  <si>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</si>
  <si>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</si>
  <si>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</si>
  <si>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</si>
  <si>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</si>
  <si>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</si>
  <si>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</si>
  <si>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</si>
  <si>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</si>
  <si>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</si>
  <si>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</si>
  <si>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</si>
  <si>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</si>
  <si>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</si>
  <si>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</si>
  <si>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</si>
  <si>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</si>
  <si>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</si>
  <si>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</si>
  <si>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</si>
  <si>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</si>
  <si>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</si>
  <si>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</si>
  <si>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</si>
  <si>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</si>
  <si>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</si>
  <si>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</si>
  <si>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</si>
  <si>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</si>
  <si>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</si>
  <si>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</si>
  <si>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</si>
  <si>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</si>
  <si>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</si>
  <si>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</si>
  <si>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</si>
  <si>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</si>
  <si>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</si>
  <si>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</si>
  <si>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</si>
  <si>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</si>
  <si>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</si>
  <si>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</si>
  <si>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</si>
  <si>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</si>
  <si>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</si>
  <si>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</si>
  <si>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</si>
  <si>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</si>
  <si>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</si>
  <si>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</si>
  <si>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</si>
  <si>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</si>
  <si>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</si>
  <si>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</si>
  <si>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</si>
  <si>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</si>
  <si>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</si>
  <si>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</si>
  <si>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</si>
  <si>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</si>
  <si>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</si>
  <si>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</si>
  <si>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AEP East Consolidated Utility Capital Structure</t>
  </si>
  <si>
    <t>Appalachian Power Company</t>
  </si>
  <si>
    <t>Indiana Michigan Power Company</t>
  </si>
  <si>
    <t>Kentucky Power Company</t>
  </si>
  <si>
    <t>Kingsport Power Company</t>
  </si>
  <si>
    <t>Ohio Power Company</t>
  </si>
  <si>
    <t>Wheeling Power Company</t>
  </si>
  <si>
    <t>AEP East Operating Companies' Consolidated Capital Structure</t>
  </si>
  <si>
    <t>Development of Long Term Debt Balances at Year End</t>
  </si>
  <si>
    <t>Development of Long Term Debt Interest Expense</t>
  </si>
  <si>
    <t>Less: Hedge Interest on pp 256-257(i)</t>
  </si>
  <si>
    <t>Development of Cost of Preferred Stock and Preferred Dividends</t>
  </si>
  <si>
    <t>Dividend Rate (p. 250-251. 7.a)</t>
  </si>
  <si>
    <t>Par Value (p. 250-251. 8.c)</t>
  </si>
  <si>
    <t>Shares Outstanding (p.250-251. 8.e)</t>
  </si>
  <si>
    <t>Development of Common Equity</t>
  </si>
  <si>
    <t>Proprietary Capital (112.16.c)</t>
  </si>
  <si>
    <t>Less: Account 216.1 (112.12.c)</t>
  </si>
  <si>
    <t xml:space="preserve">Less: Account 219.1 (112.15.c) </t>
  </si>
  <si>
    <t>Balance of Common Equity</t>
  </si>
  <si>
    <t>Calculation of Capital Shares</t>
  </si>
  <si>
    <t>Total Company Structure</t>
  </si>
  <si>
    <t>Calculation of Capital Cost Rate</t>
  </si>
  <si>
    <t>Common Equity Capital Cost Rate</t>
  </si>
  <si>
    <t>Calculation of Weighted Capital Cost Rate</t>
  </si>
  <si>
    <t>Consolidation of Operating Companies' Average Capital Structure</t>
  </si>
  <si>
    <t>Development of Average Long Term Debt</t>
  </si>
  <si>
    <t>Average Balance of Long Term Debt</t>
  </si>
  <si>
    <t>Development of Average Common Equity</t>
  </si>
  <si>
    <t>Average of Total Company Structure</t>
  </si>
  <si>
    <t>T-Plant (FF1 206.58.b)</t>
  </si>
  <si>
    <t>T-Plant (FF1 206.58.g)</t>
  </si>
  <si>
    <t>TOTAL</t>
  </si>
  <si>
    <t>Depreciation (FF1 336.7.f)</t>
  </si>
  <si>
    <t>Removes plant excluded from the OATT because it does not meet the PJM's definition of Transmission Facilities or is otherwise ineligible to be recovered under the OATT.</t>
  </si>
  <si>
    <t>Less: Net Value  Exempted Generation Plant</t>
  </si>
  <si>
    <t>Less: Net Value of Exempted Generation Plant</t>
  </si>
  <si>
    <t xml:space="preserve">  Regional Market Expenses</t>
  </si>
  <si>
    <t>Worksheet D Supporting  IPP Credits</t>
  </si>
  <si>
    <t>(Note S)</t>
  </si>
  <si>
    <t>NOTE:  The balance of fair value hedges on outstanding long term debt are to be excluded from the balance of long term debt included in the formula's capital structure. (page 257, Column H of the FF1)</t>
  </si>
  <si>
    <t>For Twelve Months Ended</t>
  </si>
  <si>
    <t>Facility Credits under PJM OATT Section 30.9</t>
  </si>
  <si>
    <t xml:space="preserve"> Revenue Requirement for PJM Schedule 12 Facilities (w/o incentives)  (Worksheet J/K)</t>
  </si>
  <si>
    <t>ADDITIONAL REVENUE REQUIREMENT for projects w/ incentive ROE's (Note B) (Worksheet J/K)</t>
  </si>
  <si>
    <t>Excess Deferred Income Tax</t>
  </si>
  <si>
    <t>U</t>
  </si>
  <si>
    <t>Tax Affect of Permanent Differences</t>
  </si>
  <si>
    <t>RESERVED FOR FUTURE USE</t>
  </si>
  <si>
    <t>Reserved for Future Use</t>
  </si>
  <si>
    <t>Cost of Service Formula Rate Using Actual/Projected FF1 Balances</t>
  </si>
  <si>
    <t>Reserved</t>
  </si>
  <si>
    <t>True-up Adjustment - Over (Under) Recovery</t>
  </si>
  <si>
    <t>Over (Under) Recovery Plus Interest</t>
  </si>
  <si>
    <t>Average Monthly Interest Rate</t>
  </si>
  <si>
    <t>Months</t>
  </si>
  <si>
    <t>Calculated Interest</t>
  </si>
  <si>
    <t>Amortization</t>
  </si>
  <si>
    <t>Surcharge (Refund) Owed</t>
  </si>
  <si>
    <t>Calculation of Interest</t>
  </si>
  <si>
    <t>Monthly</t>
  </si>
  <si>
    <t>January</t>
  </si>
  <si>
    <t>February</t>
  </si>
  <si>
    <t>March</t>
  </si>
  <si>
    <t>April</t>
  </si>
  <si>
    <t>May</t>
  </si>
  <si>
    <t>June</t>
  </si>
  <si>
    <t>July</t>
  </si>
  <si>
    <t>August</t>
  </si>
  <si>
    <t>September</t>
  </si>
  <si>
    <t>October</t>
  </si>
  <si>
    <t>November</t>
  </si>
  <si>
    <t>December</t>
  </si>
  <si>
    <t>Annual</t>
  </si>
  <si>
    <t>January  through December</t>
  </si>
  <si>
    <t>Over (Under) Recovery Plus Interest Amortized and Recovered Over 12 Months</t>
  </si>
  <si>
    <t>True-Up Adjustment with Interest</t>
  </si>
  <si>
    <t>Less Over (Under) Recovery</t>
  </si>
  <si>
    <t>Total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</si>
  <si>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</si>
  <si>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R - True-up With Interest</t>
  </si>
  <si>
    <t>Includes only FICA, unemployment, highway, property and other assessments.  Gross receipts, sales &amp; use and taxes related to income are excluded.</t>
  </si>
  <si>
    <t xml:space="preserve"> Worksheet I RESERVED</t>
  </si>
  <si>
    <t>Average Life in Whole Years</t>
  </si>
  <si>
    <t xml:space="preserve"> Worksheet L RESERVED</t>
  </si>
  <si>
    <t xml:space="preserve">shall include all revenues associated with those directly assigned transmission facilities, irrespective of whether the loads </t>
  </si>
  <si>
    <t>assigned transmission facilities are not included in the transmission plant balances on which the formula rate ATRR is based.</t>
  </si>
  <si>
    <t>In compliance with FERC Rulemaking the calculation of ADIT in the annual projection will be performed in accordance</t>
  </si>
  <si>
    <t>with IRS regulation Section 1.167(I)-I(h)(6)(ii).  Detailed balances for the projected or actual period, distinguished between utility and non-utility</t>
  </si>
  <si>
    <t>balances, will be filed and posted as part of the informational filing.</t>
  </si>
  <si>
    <t xml:space="preserve">Removes the impact of state regulatory deferrals or their amortization from Transmission O&amp;M expense. </t>
  </si>
  <si>
    <t>The formula rate shall reflect the applicable state and federal statutory tax rates in effect during the period the calculated estimated unit charges are applicable.  If the statutory tax rates change during such period, the effective tax rates used in the formula shall be weighted by the number of days the pre-ochange rate and post-change rate each is in effect.</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</si>
  <si>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</si>
  <si>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</si>
  <si>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The formula rate shall allocate property tax expense based on the as filed net plant cost allocation method detailed on Worksheet H.</t>
  </si>
  <si>
    <t>W</t>
  </si>
  <si>
    <t>AEP Transmission Companies will record depreciation expense using composites of the depreciation rates shown on Worksheet P which rates will not be changed absent a Section 205 or 206 filing at FERC to seek a change in depreciation rates.  No other changes to the formula rate may be included in that filing.</t>
  </si>
  <si>
    <t>X</t>
  </si>
  <si>
    <t xml:space="preserve">7) If AEP Transmission Companies have any directly assigned transmission facilities, the revenue credits in the formula rate </t>
  </si>
  <si>
    <t>of the customer are included in the formula rate divisor; provided however, such addition to revenue credits shall not be reflected if the costs of such directly</t>
  </si>
  <si>
    <t>The annual and monthly net plant carrying charges on page 1 are used to compute the revenue requirement for RTEP sponsored upgrades or those projects receiving approved incentive-ROE's.  Interest will be calculated based on Worksheet R and any over under recovery will be filed and posted as part of the informational filing.</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</si>
  <si>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</si>
  <si>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Return and Taxes</t>
  </si>
  <si>
    <t>AEPTCo Subsidiaries in PJM</t>
  </si>
  <si>
    <t>Real and Personal Property - Tennessee</t>
  </si>
  <si>
    <t xml:space="preserve">Includes functional wages &amp; salaries billed by AEP Service Corporation  for support of the operating company. </t>
  </si>
  <si>
    <t>Apportionment Factor - Note 1</t>
  </si>
  <si>
    <t xml:space="preserve">Actual After True-up </t>
  </si>
  <si>
    <t xml:space="preserve">   Annual Revenue Requirement, Less Lease Payments, Return and Taxes</t>
  </si>
  <si>
    <t xml:space="preserve">Interest Rate on Amount of Refunds </t>
  </si>
  <si>
    <t>.</t>
  </si>
  <si>
    <t xml:space="preserve">Subtotal - Form 1, p 111.57.d  </t>
  </si>
  <si>
    <t>5a</t>
  </si>
  <si>
    <t>Account 457.1, Regional Control Service  Revenues (FF1 p.300.23.(b); Company Records - Note 1)</t>
  </si>
  <si>
    <t>5b</t>
  </si>
  <si>
    <t>Account 457.2, Miscellaneous Revenues (FF1p.300.24.(b); Company Records - Note 1)</t>
  </si>
  <si>
    <t>Note 2</t>
  </si>
  <si>
    <t>The total of line 4 and line 5 will equal total Account 456 as listed on FF1 p.300.21-22.(b)</t>
  </si>
  <si>
    <t>Total (FERC Form 1 p.323.189.b)</t>
  </si>
  <si>
    <t>Total (FERC Form 1 p.323.191.b)</t>
  </si>
  <si>
    <t>Total (FERC Form 1 p.323.192.b)</t>
  </si>
  <si>
    <r>
      <t>GP</t>
    </r>
    <r>
      <rPr>
        <strike/>
        <sz val="12"/>
        <color indexed="10"/>
        <rFont val="Arial"/>
        <family val="2"/>
      </rPr>
      <t>(h)</t>
    </r>
  </si>
  <si>
    <t>UNFUNDED RESERVES (ENTER NEGATIVE) (NOTE Y)</t>
  </si>
  <si>
    <t>(Worksheet A ln 54.(e))</t>
  </si>
  <si>
    <t>Tax Effect of Permanent and Flow-Through Differences</t>
  </si>
  <si>
    <r>
      <t>NP</t>
    </r>
    <r>
      <rPr>
        <strike/>
        <sz val="12"/>
        <rFont val="Arial"/>
        <family val="2"/>
      </rPr>
      <t>(h)</t>
    </r>
  </si>
  <si>
    <t>Y</t>
  </si>
  <si>
    <t>The cost of service will make a rate base adjustment to remove unfunded reserves associated with contingent liabiliites recorded to Accounts 228.1-228.4 from rate base.</t>
  </si>
  <si>
    <t>SPECIFIED DEFERRED CREDITS - Actual Cycle Only</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</si>
  <si>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</si>
  <si>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</si>
  <si>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</si>
  <si>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</si>
  <si>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</si>
  <si>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</si>
  <si>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</si>
  <si>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</si>
  <si>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</si>
  <si>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</si>
  <si>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</si>
  <si>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</si>
  <si>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</si>
  <si>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</si>
  <si>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</si>
  <si>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</si>
  <si>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</si>
  <si>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</si>
  <si>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</si>
  <si>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</si>
  <si>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</si>
  <si>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</si>
  <si>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</si>
  <si>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</si>
  <si>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</si>
  <si>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</si>
  <si>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</si>
  <si>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</si>
  <si>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</si>
  <si>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</si>
  <si>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281 - ARO-Related Deferrals</t>
  </si>
  <si>
    <t>ACCOUNT 282:</t>
  </si>
  <si>
    <t>TOTAL ACOUNT 282</t>
  </si>
  <si>
    <t>ACCOUNT 282 - ARO-Related Deferals</t>
  </si>
  <si>
    <t>ACCOUNT 283:</t>
  </si>
  <si>
    <t>DEFD STATE INCOME TAXES</t>
  </si>
  <si>
    <t>TOTAL ACCOUNT 283</t>
  </si>
  <si>
    <t>ACCOUNT 283 - ARO-Related Deferals</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</si>
  <si>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</si>
  <si>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</si>
  <si>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</si>
  <si>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</si>
  <si>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</si>
  <si>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</si>
  <si>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ACCUMULATED DEFERRED INCOME TAX IN ACCOUNT 190 - Actual Cycle Only</t>
  </si>
  <si>
    <t>DEBIT  (CREDIT)</t>
  </si>
  <si>
    <t>ACCOUNT 190:</t>
  </si>
  <si>
    <t>TOTAL ACCOUNT 190</t>
  </si>
  <si>
    <t>ACCOUNT 190 - ARO-Related Deferals</t>
  </si>
  <si>
    <t>Note 1:</t>
  </si>
  <si>
    <t>Tax Year</t>
  </si>
  <si>
    <t>Total
Company</t>
  </si>
  <si>
    <t>FERC FORM 1
Tie-Back</t>
  </si>
  <si>
    <t>Tax Year Factor
(Note 2)</t>
  </si>
  <si>
    <t xml:space="preserve">"Real Estate and Personal Propety Tax Detail 
Annual Tax Expenses by Type (Note 1)"
</t>
  </si>
  <si>
    <t>Transmission Function
(Note 2)</t>
  </si>
  <si>
    <t xml:space="preserve">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  </t>
  </si>
  <si>
    <t xml:space="preserve"> Worksheet A Rate Base</t>
  </si>
  <si>
    <t>Gross Plant In Service</t>
  </si>
  <si>
    <t>Line 
No</t>
  </si>
  <si>
    <t>Month</t>
  </si>
  <si>
    <t>Transmission ARO</t>
  </si>
  <si>
    <t>General ARO</t>
  </si>
  <si>
    <t>Intangible</t>
  </si>
  <si>
    <t>(a)</t>
  </si>
  <si>
    <t>(d)</t>
  </si>
  <si>
    <t>(e)</t>
  </si>
  <si>
    <t>(h)</t>
  </si>
  <si>
    <t>(i)</t>
  </si>
  <si>
    <t>(j)</t>
  </si>
  <si>
    <t>(Note A)</t>
  </si>
  <si>
    <t>December Prior to Rate Year</t>
  </si>
  <si>
    <t xml:space="preserve">March </t>
  </si>
  <si>
    <t xml:space="preserve">August </t>
  </si>
  <si>
    <t>December  of Rate Year</t>
  </si>
  <si>
    <t xml:space="preserve">Average of the 13 Monthly Balances </t>
  </si>
  <si>
    <t>Accumulated Depreciation</t>
  </si>
  <si>
    <t>OATT Ancillary Services (GSU) Plant In Service</t>
  </si>
  <si>
    <t>OATT Ancillary Services (GSU) Accumulated Depreciation</t>
  </si>
  <si>
    <t>Excluded Plant  - Plant In Service</t>
  </si>
  <si>
    <t>Excluded Plant  - Accumulated Depreciation</t>
  </si>
  <si>
    <t>(b)</t>
  </si>
  <si>
    <t>(c)</t>
  </si>
  <si>
    <t>Transmission Accumulated Depreciation net of GSU</t>
  </si>
  <si>
    <t>Total Regulatory Deferrals Included in Ratebase</t>
  </si>
  <si>
    <t>Unfunded Reserves Summary (Company Records)</t>
  </si>
  <si>
    <t>53a</t>
  </si>
  <si>
    <t>53b</t>
  </si>
  <si>
    <t xml:space="preserve">NOTE 1: On this worksheet, "Company Records" refers to AEP's property accounting ledger. </t>
  </si>
  <si>
    <t>NOTE 2: The ratebase should not include the unamoritzed balance of hedging gains or losses.</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</si>
  <si>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</si>
  <si>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</si>
  <si>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</si>
  <si>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</si>
  <si>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</si>
  <si>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</si>
  <si>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</si>
  <si>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</si>
  <si>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</si>
  <si>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Bonds</t>
  </si>
  <si>
    <t>Less: Reacquired Bonds</t>
  </si>
  <si>
    <t>Less: Fair Value Hedges</t>
  </si>
  <si>
    <t>(f)</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</si>
  <si>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</si>
  <si>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</si>
  <si>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</si>
  <si>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</si>
  <si>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</si>
  <si>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</si>
  <si>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</si>
  <si>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(g)</t>
  </si>
  <si>
    <t>CALCULATION OF HEDGE GAINS/LOSSES TO BE EXCLUDED FROM TCOS</t>
  </si>
  <si>
    <t>Dividends on Preferred Stock (Acct 437, FF1 118.29))</t>
  </si>
  <si>
    <t>Gross Proceeds Outstanding Long-Term Debt</t>
  </si>
  <si>
    <t>Acct 223
LT Advances from Assoc. Companies</t>
  </si>
  <si>
    <t>Acct 224
Senior Unsecured Notes</t>
  </si>
  <si>
    <t>323.197.b (Notes J &amp; M)</t>
  </si>
  <si>
    <r>
      <t>GP</t>
    </r>
    <r>
      <rPr>
        <b/>
        <sz val="12"/>
        <rFont val="Arial"/>
        <family val="2"/>
      </rPr>
      <t>=</t>
    </r>
  </si>
  <si>
    <r>
      <t>NP</t>
    </r>
    <r>
      <rPr>
        <b/>
        <sz val="12"/>
        <rFont val="Arial"/>
        <family val="2"/>
      </rPr>
      <t>=</t>
    </r>
  </si>
  <si>
    <t>GP</t>
  </si>
  <si>
    <t xml:space="preserve"> (Note T)</t>
  </si>
  <si>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</si>
  <si>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On this worksheet, "Company Records" refers to AEP's tax forecast and accounting ledger.  The PTRR will use</t>
  </si>
  <si>
    <t>projected ending balances and reflect proration required by IRS Letter Rule Section I.I67(I)-I(h)(6)(ii).  Line item detail of actual deferred tax items will be included on Worksheets B-1 and B-2.</t>
  </si>
  <si>
    <t>Stores Expense (Undistributed) - Account 163</t>
  </si>
  <si>
    <t>Prepayment Balance Summary (Note 1)</t>
  </si>
  <si>
    <t>Account 4560015, Associated Business Development - (Company Records - Notes 1, 2)</t>
  </si>
  <si>
    <t>Account 456 - Other Electric Revenues - (Company Records - Notes 1,2)</t>
  </si>
  <si>
    <t>Note 1: The taxes assessed on each transmission company can differ from year to year and between transmission companies by both the type of taxes and the states in which they were assessed.  Therefore, for each company, the types and jurisdictions of tax expense recorded on this page could differ from the same page in the same company's prior year template or from this page in other transmission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</si>
  <si>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</si>
  <si>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</si>
  <si>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</si>
  <si>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</si>
  <si>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</si>
  <si>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</si>
  <si>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43)</t>
    </r>
  </si>
  <si>
    <t>Calculation of Post-employment Benefits Other than Pensions Expenses Allocable to Transmission Service</t>
  </si>
  <si>
    <t>Worksheet O - PBOP Support</t>
  </si>
  <si>
    <t>PBOP</t>
  </si>
  <si>
    <t>Calculation of PBOP Expenses</t>
  </si>
  <si>
    <t>AEP System PBOP Rate</t>
  </si>
  <si>
    <t xml:space="preserve">Total AEP System PBOP expenses </t>
  </si>
  <si>
    <t>Base Year relating to retired personnel</t>
  </si>
  <si>
    <t xml:space="preserve">Amount allocated on Labor </t>
  </si>
  <si>
    <t>Total AEP System Direct Labor Expense</t>
  </si>
  <si>
    <t>AEP System PBOP expense per dollar of direct labor (PBOP Rate)</t>
  </si>
  <si>
    <t>Currently Approved PBOP Rate</t>
  </si>
  <si>
    <t>Base PBOP TransCo labor expensed in current year</t>
  </si>
  <si>
    <t>Direct PBOP Expense per Actuarial Report</t>
  </si>
  <si>
    <t>Additional PBOP Ledger Entry (From Company Records)</t>
  </si>
  <si>
    <t>Medicare Credit</t>
  </si>
  <si>
    <t>PBOP Expenses From AEP Affiliates (From Company Records)</t>
  </si>
  <si>
    <t xml:space="preserve">Actual PBOP Expense </t>
  </si>
  <si>
    <t>PBOP Adjustment</t>
  </si>
  <si>
    <t>Note: PBOP Expense will be calculated in accordance with the settlement in Docket ER10-355.</t>
  </si>
  <si>
    <t>As part of the annual update process, AEP will provide to transmission customers and include in its informational filing an independently prepared actuarial report that includes a ten (10) year forecast of PBOP expenses.  During the annual update process conducted for rate year 2018 and every four years thereafter, Worksheet O will be used to determine whether the PBOP allowance rate ($PBOP per $Direct O&amp;M Labor) should be adjusted going forward for the next four years.  If the annual actuarial report issued during the year of any PBOP rate review projects PBOP costs during the next four years that, when allocated to the AEP Transmission Companies based on their projected direct labor expenses over that same projected four-year period, absent a change in the PBOP Rate, will likely cause the AEP East Transmission Companies to over or under collect their cumulative PBOP expenses by more than 20% of the projected next four year’s total PBOP expense, taking into account the net over or under collection of such expenses during the previous four years, the PBOP rate shall be adjusted.  In order to determine whether continued use of the then approved PBOP rate is likely to result in the AEP Companies’ incurrence of a cumulative allowance of PBOP costs under the formula rate will result in a cumulative over or under-recoery of actual PBOP expenses exceeding 20% over the subsequent four year period, Worksheet O will be used to determine (a) the level of cumulative over or under collections of PBOP expense during the time since the PBOP allowance rate was last set, including carrying costs based on the weighted average cost of capital each year from the formula rate actual transmission cost-of-service (b) the cumulative net present value of projected PBOP costs during the next four years as estimated by the then current actuarial report, assuming a discount rate equal to the actual transmission cost of service average cost of capital for the immediately prior calendar year and (c) the cumulative net present value of continued collections over the next four years based on the projected AEP Transmission Companies direct labor expenses and the then effective PBOP allowance rate assuming a discount rate equal to the prior year weighted average cost of capital.  If the absolute value of (a)+(b)-(c) exceeds 20% of (b), then the PBOP allowance rate used in the formula rate calculation shall be changed to the value that will cause the projected result of (a)+(b)-(c) to equal zero.  If the projected over or under collection during the next four years, (a)+(b)-(c), is less than 20% of (b), then the PBOP Rate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Rate  stated in the formula rate shown on Worksheet O.  No other changes to the formula rate may be included in that filing.</t>
  </si>
  <si>
    <t>The Post-employment Benefit Other than Pension (PBOP) expense is fixed based on an approved ratio of PBOP expense to direct labor expense.</t>
  </si>
  <si>
    <t>See note K above. Recoverable PBOP expense is based on a rate of $(0.058) cents per dollar of direct labor.  This rate may be adjusted up or down every four years based on a comparison of the Allowable TransCo PBOP Expense and the Actual PBOP Expense for a four year Historic and four year Projected  period.  If the over or under collection is greater than plus or minus 20% of the recoverable amount, an adjustment will be proposed in a Section 205 rate filing.</t>
  </si>
  <si>
    <t>Transmission Plant Balances in this study are projected or actual average 13 month balances.</t>
  </si>
  <si>
    <t>AEP Indiana Michigan Transmission Company</t>
  </si>
  <si>
    <t>Prepaid Insurance</t>
  </si>
  <si>
    <t>Prepaid Insurance - EIS</t>
  </si>
  <si>
    <t>Prepaid Lease</t>
  </si>
  <si>
    <t>Misc General Expenses</t>
  </si>
  <si>
    <t>Corporate &amp; Fiscal Expenses</t>
  </si>
  <si>
    <t>Assoc Business Development Exp</t>
  </si>
  <si>
    <t>MICHIGAN JURISDICTION</t>
  </si>
  <si>
    <t>INDIANA JURISDICTION</t>
  </si>
  <si>
    <t>Real and Personal Property - Michigan</t>
  </si>
  <si>
    <t>Real and Personal Property - Indiana</t>
  </si>
  <si>
    <t>No</t>
  </si>
  <si>
    <t>RTEP ID: b1465.4 (Make switching improvements at Sullivan and Jefferson 765 kV stations)</t>
  </si>
  <si>
    <t>RTEP ID: b1465.2 (Replace the 100 MVAR 765 kV shunt reactor bank on Rockport - Jefferson 765 kV line with a 300 MVAR bank at Rockport Station)</t>
  </si>
  <si>
    <t xml:space="preserve">RTEP ID: b2048 (Replace both Tanners Creek 345/138 kV transformers with one bigger transformer)     
</t>
  </si>
  <si>
    <t xml:space="preserve">RTEP ID: b1818 (Expand the Allen station by installing a second 345/138 kV transformer and adding four exits by cutting in the Lincoln-Sterling and Timber Switch -Milan 138 kV double circuit tower line)
</t>
  </si>
  <si>
    <t xml:space="preserve"> $                            -  </t>
  </si>
  <si>
    <t xml:space="preserve"> $                                     -  </t>
  </si>
  <si>
    <t xml:space="preserve">RTEP ID: b1819 (Rebuild the Robinson Park-Sorneson 138 kV line corridor as a 345 kV double circuit line with one side operated at 345 kV and one side at 138 kV)
</t>
  </si>
  <si>
    <t>RTEP ID: b1659 (Sorenson: Add 765/345 kV transformer and all connection work)</t>
  </si>
  <si>
    <t>RTEP ID: b1659.13 (Sorenson: Expansion work to establish 765 kV site)</t>
  </si>
  <si>
    <t>RTEP ID: b1659.14 (Sorenson: Approx. 14 miles of 765 kV line from existing Dumont-Marysville line)</t>
  </si>
  <si>
    <t>RTEP ID: b1465.1 (Add a 3rd 2250 MVA 765/345 kV transformer at Sullivan station)</t>
  </si>
  <si>
    <t xml:space="preserve">or Surcharges (Note 1) </t>
  </si>
  <si>
    <t xml:space="preserve">Indiana State Tax Rate </t>
  </si>
  <si>
    <t xml:space="preserve">Michigan Tax Rate </t>
  </si>
  <si>
    <r>
      <t xml:space="preserve">Note: </t>
    </r>
    <r>
      <rPr>
        <sz val="12"/>
        <rFont val="Arial MT"/>
      </rPr>
      <t>Per the Settlement in Docket No. ER10-355, Appendix A.1.2, AEP INDIANA MICHIGAN TRANSMISSION COMPANY shall use the depreciation rates shown above by FERC Account until such time as the FERC approves new depreciation rates pusuant to a Section 205 or 206 filing to change rates.</t>
    </r>
  </si>
  <si>
    <t>I &amp; M</t>
  </si>
  <si>
    <t>RTEP ID: b1465.5 (Sullivan Inst Baker 765 kV trf.)</t>
  </si>
  <si>
    <t>Capital Structure Equity Limit (Note Z)</t>
  </si>
  <si>
    <t>Cap Limit</t>
  </si>
  <si>
    <t>Z</t>
  </si>
  <si>
    <t xml:space="preserve">Per the settlement in EL17-13, equity is limited to 55% in of the Company's capital structure.  If the percentage of actual equity exceeds the cap, the excess is included as long term debt in the capital structure.  </t>
  </si>
  <si>
    <t>9280000</t>
  </si>
  <si>
    <t>Regulatory Commission Exp</t>
  </si>
  <si>
    <t>9280001</t>
  </si>
  <si>
    <t>Regulatory Commission Exp-Adm</t>
  </si>
  <si>
    <t>9280002</t>
  </si>
  <si>
    <t>Regulatory Commission Exp-Case</t>
  </si>
  <si>
    <t>9280005</t>
  </si>
  <si>
    <t>Reg Com Exp-FERC Trans Cases</t>
  </si>
  <si>
    <t>9301000</t>
  </si>
  <si>
    <t>General Advertising Expenses</t>
  </si>
  <si>
    <t>9301001</t>
  </si>
  <si>
    <t>Newspaper Advertising Space</t>
  </si>
  <si>
    <t>9301012</t>
  </si>
  <si>
    <t>Public Opinion Surveys</t>
  </si>
  <si>
    <t>9302000</t>
  </si>
  <si>
    <t>9302003</t>
  </si>
  <si>
    <t>9302007</t>
  </si>
  <si>
    <t>RTEP ID: b1465.5 (Switching Improvements at Sullivan Jefferson 765kV stations)</t>
  </si>
  <si>
    <t xml:space="preserve">NON-UTILITY DEFERRED FIT </t>
  </si>
  <si>
    <t>SFAS 109 FLOW-THRU 190.3</t>
  </si>
  <si>
    <t>SFAS 109 EXCESS DFIT 190.4</t>
  </si>
  <si>
    <t>ADIT FED - PENSION OCI NAF 1900009</t>
  </si>
  <si>
    <t>ADIT-FED-HDG-CF-INT RATE1900015</t>
  </si>
  <si>
    <t>SFAS 109 FLOW-THRU 282.3</t>
  </si>
  <si>
    <t>SFAS 109 EXCESS DFIT 282.4</t>
  </si>
  <si>
    <t>SFAS 109 FLOW-THRU 283.3</t>
  </si>
  <si>
    <t>SFAS 109 EXCESS DFIT 283.4</t>
  </si>
  <si>
    <t>ADIT - FED-HDG-CF-INT RATE 2830015</t>
  </si>
  <si>
    <t>INDIANA MICHIGAN TRANSMISSION COMPANY</t>
  </si>
  <si>
    <t>Debit/(Credit)</t>
  </si>
  <si>
    <t xml:space="preserve">I </t>
  </si>
  <si>
    <t xml:space="preserve">J </t>
  </si>
  <si>
    <t>Balance Sheet Entries</t>
  </si>
  <si>
    <t>Tax Expense Entries</t>
  </si>
  <si>
    <t xml:space="preserve">Line No. </t>
  </si>
  <si>
    <t>Description of Account</t>
  </si>
  <si>
    <t>Protected
Unprotected</t>
  </si>
  <si>
    <t>Tax Rate Change Act</t>
  </si>
  <si>
    <t>Amortization Methodology (NOTE C)</t>
  </si>
  <si>
    <t>Amotization Period</t>
  </si>
  <si>
    <t>Balance Sheet Account Reclassifications</t>
  </si>
  <si>
    <t>410/411 Deferred Tax Expense/ (Benefit)</t>
  </si>
  <si>
    <t>Reference</t>
  </si>
  <si>
    <t>Sum of Cols (I) - (O)</t>
  </si>
  <si>
    <t>Deferred Tax Account (NOTE B)</t>
  </si>
  <si>
    <t>1a</t>
  </si>
  <si>
    <r>
      <t>190</t>
    </r>
    <r>
      <rPr>
        <sz val="9"/>
        <color indexed="10"/>
        <rFont val="Arial"/>
        <family val="2"/>
      </rPr>
      <t>4</t>
    </r>
    <r>
      <rPr>
        <sz val="9"/>
        <rFont val="Arial"/>
        <family val="2"/>
      </rPr>
      <t>001</t>
    </r>
  </si>
  <si>
    <t xml:space="preserve">ADFIT - FAS 109 Excess </t>
  </si>
  <si>
    <t>N/A</t>
  </si>
  <si>
    <t>TCJA 2017</t>
  </si>
  <si>
    <t>1b</t>
  </si>
  <si>
    <r>
      <t>282</t>
    </r>
    <r>
      <rPr>
        <sz val="9"/>
        <color indexed="10"/>
        <rFont val="Arial"/>
        <family val="2"/>
      </rPr>
      <t>1</t>
    </r>
    <r>
      <rPr>
        <sz val="9"/>
        <rFont val="Arial"/>
        <family val="2"/>
      </rPr>
      <t>001</t>
    </r>
  </si>
  <si>
    <t>ADFIT - Utility Property</t>
  </si>
  <si>
    <t>Protected</t>
  </si>
  <si>
    <t>ARAM</t>
  </si>
  <si>
    <t>Life of Asset</t>
  </si>
  <si>
    <t>1c</t>
  </si>
  <si>
    <t>Unprotected</t>
  </si>
  <si>
    <t>10 Years</t>
  </si>
  <si>
    <t>1/2018 - 12/2027</t>
  </si>
  <si>
    <t>1d</t>
  </si>
  <si>
    <r>
      <t>282</t>
    </r>
    <r>
      <rPr>
        <sz val="9"/>
        <color indexed="10"/>
        <rFont val="Arial"/>
        <family val="2"/>
      </rPr>
      <t>4</t>
    </r>
    <r>
      <rPr>
        <sz val="9"/>
        <rFont val="Arial"/>
        <family val="2"/>
      </rPr>
      <t>001</t>
    </r>
  </si>
  <si>
    <t>ADFIT - Utility Property FAS 109 Excess</t>
  </si>
  <si>
    <t>1e</t>
  </si>
  <si>
    <t>1f</t>
  </si>
  <si>
    <r>
      <t>283</t>
    </r>
    <r>
      <rPr>
        <sz val="9"/>
        <color indexed="10"/>
        <rFont val="Arial"/>
        <family val="2"/>
      </rPr>
      <t>1</t>
    </r>
    <r>
      <rPr>
        <sz val="9"/>
        <rFont val="Arial"/>
        <family val="2"/>
      </rPr>
      <t>001</t>
    </r>
  </si>
  <si>
    <t>ADFIT - Other Utility Deferrals</t>
  </si>
  <si>
    <t>1g</t>
  </si>
  <si>
    <r>
      <t>283</t>
    </r>
    <r>
      <rPr>
        <sz val="9"/>
        <color indexed="10"/>
        <rFont val="Arial"/>
        <family val="2"/>
      </rPr>
      <t>4</t>
    </r>
    <r>
      <rPr>
        <sz val="9"/>
        <rFont val="Arial"/>
        <family val="2"/>
      </rPr>
      <t>001</t>
    </r>
  </si>
  <si>
    <t>ADFIT - Other FAS 109 Excess</t>
  </si>
  <si>
    <t>1h</t>
  </si>
  <si>
    <t>NOTE  D</t>
  </si>
  <si>
    <t>Regulatory Deferral Accounts</t>
  </si>
  <si>
    <t>2a</t>
  </si>
  <si>
    <t xml:space="preserve">Regulatory Asset  </t>
  </si>
  <si>
    <t xml:space="preserve"> Company Records</t>
  </si>
  <si>
    <t>2b</t>
  </si>
  <si>
    <t>Regulatory Liability</t>
  </si>
  <si>
    <t>2c</t>
  </si>
  <si>
    <r>
      <t xml:space="preserve">NOTE </t>
    </r>
    <r>
      <rPr>
        <sz val="9"/>
        <color indexed="10"/>
        <rFont val="Arial"/>
        <family val="2"/>
      </rPr>
      <t>E</t>
    </r>
  </si>
  <si>
    <t>NOTE A</t>
  </si>
  <si>
    <t xml:space="preserve">In order to ensure ratebase neutrality, AEP utilizes the fourth digit of its seven digit FERC Tax subaccount numbers to identify balances associated with uitlity operations vs regulatory reporting requirements.  A "1" in the fourth digit of a FERC tax account refers to the utility operations balance or entry.  Accounts with the "1" designation will be included in the determination of ratebase to be recovered in the formula rate.   A "4"  in the four place of the account number indicates accounts used to track regulatory accounting requirements.  The excess ADIT amounts recorded in accounts with the  "4" designation will be contra to the "1" balance, which will ensure that in the formula rate the excess amount will be part of ratebase, but at the total FERC account level the tax asset or liability will be recorded at the current Federal FIT rate.   The amounts recored in the "4" will be offset on a net basis in  the regulatory asset or liability subaccount established for this purpose. </t>
  </si>
  <si>
    <t>NOTE B:</t>
  </si>
  <si>
    <t>NOTE C:</t>
  </si>
  <si>
    <t>NOTE D:</t>
  </si>
  <si>
    <t>NOTE E:</t>
  </si>
  <si>
    <t>WS B - 1 Col N, ADIT Item 9.03</t>
  </si>
  <si>
    <t>WS B - 1 Col N, ADIT Item 5.15</t>
  </si>
  <si>
    <t>WS B - 1 Col N, ADIT Item 5.16</t>
  </si>
  <si>
    <t>Company Records (included in total in column (d) of line 14, gross plant above)</t>
  </si>
  <si>
    <t>Company Records (included in total in column (d) of line 28, accumulated depreciation, above)</t>
  </si>
  <si>
    <t>NOL ADJUSTMENT</t>
  </si>
  <si>
    <t>NOL CONTRA</t>
  </si>
  <si>
    <t>9302004</t>
  </si>
  <si>
    <t>Research, Develop&amp;Demonstr Exp</t>
  </si>
  <si>
    <t>9302017</t>
  </si>
  <si>
    <t>SellingPrice Normalization Exp</t>
  </si>
  <si>
    <t>WS B - 2 Col B/C, ADIT Item 2.14</t>
  </si>
  <si>
    <t>WS B - 1 Col B/C, ADIT Item 5.21</t>
  </si>
  <si>
    <t>WS B - 1 Col B/C, ADIT Item 9.08</t>
  </si>
  <si>
    <t xml:space="preserve">Long Term Debt cost rate = long-term interest (ln 128) /average long term debt (ln 136). Preferred Stock cost rate = preferred dividends (ln 129) / preferred outstanding (ln 137). </t>
  </si>
  <si>
    <t>Common Stock cost rate (ROE) = 10.35%, per the settlement in FERC Docket No. EL17-13. It includes an additional 50 basis points for PJM RTO membership. All Transmission Companies other than AEP Appalachian Transmission Company utilize their own capital structure and costs as shown on Worksheet M. The calculations on Worksheet M will use the projected or actual 13 month average of long-term debt, common and preferred equity and calendar year long term debt interest expenses, preferred dividends and approved ROE. The long term debt balances and long term debt cost rate shall not include any amounts related to hedging activity. As shown on Worksheet Q, the AEP Appalachian Transmission Company capital structure and weighted cost of capital (WACC) shall be based on the weighted composite of the AEP East Operating Companies beginning and ending average capital structure, including the beginning and ending average outstanding LTD and PS issuances with the common equity portion in Docket No. ER08-1329, and (2) the weighted composite LTD and PS cost using projected or actual calendar year LTD expense and PS dividends of the AEP East Operating Companies excluding all interest rate hedging costs and/or gains, until the Company establishes its own actual capital structure.</t>
  </si>
  <si>
    <t>AEP EAST TRANSMISSION COMPANIES</t>
  </si>
  <si>
    <t>Docket ER20-1888-000</t>
  </si>
  <si>
    <t>AEP INDIANA MICHIGAN TRANSMISSION COMPANY</t>
  </si>
  <si>
    <t>Compliance Filing</t>
  </si>
  <si>
    <t>ATTACHMENT H-20B</t>
  </si>
  <si>
    <t>Attachment 12</t>
  </si>
  <si>
    <t>WORKSHEET B-3-A</t>
  </si>
  <si>
    <t>Page 2 of 5</t>
  </si>
  <si>
    <t>TAX REMEASUREMENT  WORKSHEET</t>
  </si>
  <si>
    <t>TAX CUT and JOBS ACT of  2017</t>
  </si>
  <si>
    <t>F=E/C</t>
  </si>
  <si>
    <t>H = E + G</t>
  </si>
  <si>
    <t>J = C - H</t>
  </si>
  <si>
    <t>Line No.</t>
  </si>
  <si>
    <t xml:space="preserve">Utility Account </t>
  </si>
  <si>
    <t>12/31/17 Pre-remeasurement Balance</t>
  </si>
  <si>
    <t>Remeasurement Amount (NOTE 1)</t>
  </si>
  <si>
    <t>Remeasurement Percentage (NOTE 2)</t>
  </si>
  <si>
    <t>190/283 Recalss (NOTE 3)</t>
  </si>
  <si>
    <t>Total Excess/Deficiency by Account (NOTE 4)</t>
  </si>
  <si>
    <t>Protected / Unprotected</t>
  </si>
  <si>
    <t>ADIT Deferral After Remeasurement</t>
  </si>
  <si>
    <t>1</t>
  </si>
  <si>
    <t>1901001</t>
  </si>
  <si>
    <t>2018 FF1 P. 234 Col (b) Line 8</t>
  </si>
  <si>
    <t>2821001</t>
  </si>
  <si>
    <t>2018 FF1 P. 274 Col (b) Line 5</t>
  </si>
  <si>
    <t>2831001</t>
  </si>
  <si>
    <t>2018 FF1 P. 276 Col (b) Line 9</t>
  </si>
  <si>
    <t xml:space="preserve">GENERAL NOTE:  This worksheet will summarize remeasurement adjustments in ADIT Accounts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</si>
  <si>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 xml:space="preserve">NOTE 1: </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</si>
  <si>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</si>
  <si>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</si>
  <si>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</si>
  <si>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</si>
  <si>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</si>
  <si>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</si>
  <si>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Transmission Company's Workpaper B-3, Column F, showing the intial remeasurement value determined as a result of the Tax Cut and Jobs Act of 2017.</t>
  </si>
  <si>
    <t>TAX REMEASUREMENT WORKSHEET</t>
  </si>
  <si>
    <t xml:space="preserve">The amounts of the remeasurement shown here are as of the effective date of the change in tax rates and will remain static on this workpaper. The derivation of this amount, along with the pre-remeasurement and post-remeasurement balances of ADIT, are presented in formula wokpaper(s) B-3-X,   </t>
  </si>
  <si>
    <t>{REFERENCE OR CITE TO APPROVAL OF AMORTIZATION PERIOD FOR UNPROTECTED EXCESS OR DEFICIENT ADIT}</t>
  </si>
  <si>
    <t>NOTE F:</t>
  </si>
  <si>
    <t>WORKSHEET B-3-X</t>
  </si>
  <si>
    <t>Utility Account (NOTE A)</t>
  </si>
  <si>
    <t xml:space="preserve">Excess / Deficient Balance at Remeasurement </t>
  </si>
  <si>
    <t>Excess / Deficient ADIT Regulatory  Offset</t>
  </si>
  <si>
    <t>Excess / Deficient ADIT in Utility Deferrals</t>
  </si>
  <si>
    <t xml:space="preserve">410/411 Excess / Deficient Amortization NOTE C/NOTE F
</t>
  </si>
  <si>
    <t>Excess/ Deficient ADIT Regulatory  Offset</t>
  </si>
  <si>
    <t>Excess /  Deficient ADIT in Utility Deferrals</t>
  </si>
  <si>
    <t>EFFECTIVE AS OF 3/11/2020</t>
  </si>
  <si>
    <r>
      <t>Note:</t>
    </r>
    <r>
      <rPr>
        <sz val="12"/>
        <rFont val="Arial"/>
        <family val="2"/>
      </rPr>
      <t xml:space="preserve"> Rates approved in Indiana 
Cause No. 45235 effective March 11, 2020.</t>
    </r>
  </si>
  <si>
    <t>RTEP ID: b2777 (Reconductor the entire Dequine - Eugene 345 kV circuit #1)</t>
  </si>
  <si>
    <t>Acc Dfrd SIT FAS 109 Flow Thru 283.3002</t>
  </si>
  <si>
    <t>1650001</t>
  </si>
  <si>
    <t>165001223</t>
  </si>
  <si>
    <t>Prepaid Use Taxes</t>
  </si>
  <si>
    <t>1650021</t>
  </si>
  <si>
    <t>1650023</t>
  </si>
  <si>
    <t xml:space="preserve"> The amount of the FIT gross up to recorded on regulatory assets and liabilities will be reported on the first line of ADIT accounts provided for each specific change in tax rates.</t>
  </si>
  <si>
    <t>In the event of future tax rate changes, additional lines will be inserted in both the Total Company and Transmission Functional sections above as required to reflect any new ADIT or regulatory deferral accounts that may be necessary to track that tax rate change.</t>
  </si>
  <si>
    <t>The amount of excess amortization entries shown in lines 1a through 1h are shown as a debit or credit to the ADIT account from which it is being amortized.  The total in line 3 is the offset recorded to the 410/411 account and will tie to the total company amount of excess or deficient ADIT amortization shown on line 102 of the cost of service</t>
  </si>
  <si>
    <t>RTEP ID: b1034.4 (Rebuild/reconductor the Sunnyside - Torrey 138kV line)</t>
  </si>
  <si>
    <t>RTEP ID: b2776 (Reconductor the entire Dequine - Meadow Lake 345 kV circuit #2)</t>
  </si>
  <si>
    <t>165001224</t>
  </si>
  <si>
    <t>3091 - TAX CREDIT C/F W DEF TAX</t>
  </si>
  <si>
    <t>6002 - PT AFUDC Debt - NORM</t>
  </si>
  <si>
    <t>6007 - PT CIAC - NORM</t>
  </si>
  <si>
    <t>6009 - PT COR - NORM</t>
  </si>
  <si>
    <t>6011 - PT CPI - NORM</t>
  </si>
  <si>
    <t>6018 - PT Method/Life - NORM</t>
  </si>
  <si>
    <t>6021 - PT R&amp;D Adjustment - NORM</t>
  </si>
  <si>
    <t>6022 - PT Relocation Cost - NORM</t>
  </si>
  <si>
    <t>6024 - PT Repairs UOP - NORM</t>
  </si>
  <si>
    <t>6026 - PT Software - NORM</t>
  </si>
  <si>
    <t>6523 - 2020 712L 481(a) Software</t>
  </si>
  <si>
    <t>7021 - PROVS POSS REV REFDS-A/L</t>
  </si>
  <si>
    <t>7027 - INSURANCE PREMIUMS ACCRUED</t>
  </si>
  <si>
    <t>7039 - ACCRD LEASED ASSET BK RENT EXP</t>
  </si>
  <si>
    <t>7048 - ACCRD COMPANYWIDE INCENTV PLAN</t>
  </si>
  <si>
    <t>7054 - BOOK LEASES DEFERRED</t>
  </si>
  <si>
    <t>7423 - REG ASSET-FERC Formula Rates Under Recvr</t>
  </si>
  <si>
    <t>7584 - BOOK OPERATING LEASE - LIAB</t>
  </si>
  <si>
    <t>7585 - BOOK OPERATING LEASE - ASSET</t>
  </si>
  <si>
    <t>7587 - ACCRUED SALES &amp; USE TAX RESERVE</t>
  </si>
  <si>
    <t>9011 - State Property Mod - IN</t>
  </si>
  <si>
    <t>9015 - State Property Mod - MI</t>
  </si>
  <si>
    <t>2010 - EXCESS ADFIT 282 - PROTECTED.</t>
  </si>
  <si>
    <t>2011 - EXCESS ADFIT 282 - UNPROTECTED.</t>
  </si>
  <si>
    <t>2012 - EXCESS ADFIT 283 - UNPROTECTED.</t>
  </si>
  <si>
    <t>Energy Storage</t>
  </si>
  <si>
    <t>Energy Storage ARO</t>
  </si>
  <si>
    <t>FF1, page 207 Col.(g) &amp; pg. 206 Col. (b), ln 84.14</t>
  </si>
  <si>
    <t>FF1, page 207 Col.(g) &amp; pg. 206 Col. (b), ln 84.13</t>
  </si>
  <si>
    <t>FF1, page 219, ln 27.1, Col. (b)</t>
  </si>
  <si>
    <t>Company Records (Included in total in Column (f))</t>
  </si>
  <si>
    <t>Excluded Energy Storage Plant  - Plant In Service</t>
  </si>
  <si>
    <t>Excluded Energy Storage Plant  - Accumulated Depreciation</t>
  </si>
  <si>
    <t>Company Records</t>
  </si>
  <si>
    <t>Energy Storage Materials &amp; Supplies</t>
  </si>
  <si>
    <t>FF1, p. 227, ln 10.1, Col. (c) &amp; (b)</t>
  </si>
  <si>
    <t>118a</t>
  </si>
  <si>
    <t>ENERGY STORAGE PLANT INCLUDED IN PJM TARIFF</t>
  </si>
  <si>
    <t>118b</t>
  </si>
  <si>
    <r>
      <t xml:space="preserve">   </t>
    </r>
    <r>
      <rPr>
        <sz val="12"/>
        <rFont val="Arial"/>
        <family val="2"/>
      </rPr>
      <t xml:space="preserve">Total Energy Storage Plant </t>
    </r>
  </si>
  <si>
    <t>(page 2, line 23a, column 3)</t>
  </si>
  <si>
    <t>118c</t>
  </si>
  <si>
    <r>
      <t xml:space="preserve">   </t>
    </r>
    <r>
      <rPr>
        <sz val="12"/>
        <rFont val="Arial"/>
        <family val="2"/>
      </rPr>
      <t>Less Energy Storage Plant excuded from PJM Tariff (Note</t>
    </r>
    <r>
      <rPr>
        <b/>
        <sz val="12"/>
        <rFont val="Arial"/>
        <family val="2"/>
      </rPr>
      <t xml:space="preserve"> AA)</t>
    </r>
  </si>
  <si>
    <t>(Worksheet A ln 42.(f))</t>
  </si>
  <si>
    <t>118d</t>
  </si>
  <si>
    <r>
      <t xml:space="preserve">   </t>
    </r>
    <r>
      <rPr>
        <sz val="12"/>
        <rFont val="Arial"/>
        <family val="2"/>
      </rPr>
      <t>Energy Storage plant included in PJM Tariff</t>
    </r>
  </si>
  <si>
    <t>(line 118b less line 118c)</t>
  </si>
  <si>
    <t>118e</t>
  </si>
  <si>
    <t>Percentage of Energy Storage plant included in PJM Tariff</t>
  </si>
  <si>
    <t>(line 118d divided by line 118b)</t>
  </si>
  <si>
    <t>ES=</t>
  </si>
  <si>
    <t>122a</t>
  </si>
  <si>
    <t xml:space="preserve">  Energy Storage</t>
  </si>
  <si>
    <t>354.22.1.b</t>
  </si>
  <si>
    <t>ES</t>
  </si>
  <si>
    <t>AA</t>
  </si>
  <si>
    <t>Removes energy storage plant not recovered in transmission rates as demonstrated on supporting workpaper or footnote to the Form 1, if applicable.</t>
  </si>
  <si>
    <t>BB</t>
  </si>
  <si>
    <t>Identified in Form 1 as being only energy storage related. The amount reported on Form 1 page 227, line 10.1 is entirely transmission-related unless specified in a footnote to the Form 1.</t>
  </si>
  <si>
    <t>85a</t>
  </si>
  <si>
    <t>336.9.1b</t>
  </si>
  <si>
    <t>77a</t>
  </si>
  <si>
    <t>322.131.16.b</t>
  </si>
  <si>
    <t>49a</t>
  </si>
  <si>
    <t xml:space="preserve">  Energy Storage Materials &amp; Supplies (Note BB)</t>
  </si>
  <si>
    <t>23a</t>
  </si>
  <si>
    <t>23b</t>
  </si>
  <si>
    <t xml:space="preserve">  Less: Energy Storage ARO (Enter Negative) </t>
  </si>
  <si>
    <t>30a</t>
  </si>
  <si>
    <t>30b</t>
  </si>
  <si>
    <t>35a</t>
  </si>
  <si>
    <t>(k)</t>
  </si>
  <si>
    <t>(l)</t>
  </si>
  <si>
    <t>Acc Dfrd SIT FAS 109 Flow Thru 2823002</t>
  </si>
  <si>
    <t>Accum Deferred SIT - Excess 2834002</t>
  </si>
  <si>
    <t>Accum Deferred SIT - Excess 190.4002</t>
  </si>
  <si>
    <t>9301009</t>
  </si>
  <si>
    <t>Fairs, Shows, and Exhibits</t>
  </si>
  <si>
    <t>1/1/2025 Beginning  Balances</t>
  </si>
  <si>
    <t>12/31/2025 Ending Balance</t>
  </si>
  <si>
    <t>2015 - DEFICIENT ADFIT 190 - PROTECTED</t>
  </si>
  <si>
    <t>2016 - DEFICIENT ADFIT 190 - UNPROTECTED</t>
  </si>
  <si>
    <t>ADFIT - FAS 109 Excess</t>
  </si>
  <si>
    <t>1904001</t>
  </si>
  <si>
    <t>1904002</t>
  </si>
  <si>
    <t>ADSIT - FAS 109 Excess (State Gross Up)</t>
  </si>
  <si>
    <t>Mix</t>
  </si>
  <si>
    <t>WVHB2026</t>
  </si>
  <si>
    <t>2834001</t>
  </si>
  <si>
    <t>ADFIT - FAS 109 Excess (Fed Gross Up)</t>
  </si>
  <si>
    <t>2834002</t>
  </si>
  <si>
    <t>1i</t>
  </si>
  <si>
    <t>1j</t>
  </si>
  <si>
    <t>1k</t>
  </si>
  <si>
    <t>1l</t>
  </si>
  <si>
    <t>1m</t>
  </si>
  <si>
    <t>P.263 ln 14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</si>
</sst>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0.0000%"/>
    <numFmt numFmtId="176" formatCode="_(* #,##0.0_);_(* \(#,##0.0\);_(* &quot;-&quot;??_);_(@_)"/>
    <numFmt numFmtId="177" formatCode="0.000000"/>
    <numFmt numFmtId="178" formatCode="_(* #,##0.0000_);_(* \(#,##0.0000\);_(* &quot;-&quot;_);_(@_)"/>
    <numFmt numFmtId="179" formatCode="_(* #,##0.00000_);_(* \(#,##0.00000\);_(* &quot;-&quot;_);_(@_)"/>
    <numFmt numFmtId="180" formatCode="_(* #,##0.0000000000_);_(* \(#,##0.0000000000\);_(* &quot;-&quot;_);_(@_)"/>
    <numFmt numFmtId="181" formatCode="_(* #,##0.00000_);_(* \(#,##0.00000\);_(* &quot;-&quot;??_);_(@_)"/>
    <numFmt numFmtId="182" formatCode="#,##0.0000000"/>
    <numFmt numFmtId="183" formatCode="_(* #,##0.0000000_);_(* \(#,##0.0000000\);_(* &quot;-&quot;_);_(@_)"/>
    <numFmt numFmtId="184" formatCode="#,##0\ ;\(#,##0\)"/>
    <numFmt numFmtId="185" formatCode="_(* #,##0.0000_);_(* \(#,##0.0000\);_(* &quot;-&quot;??_);_(@_)"/>
    <numFmt numFmtId="186" formatCode="0.0%"/>
    <numFmt numFmtId="187" formatCode="_(* #,##0.000_);_(* \(#,##0.000\);_(* &quot;-&quot;_);_(@_)"/>
    <numFmt numFmtId="188" formatCode="#,##0.000000"/>
    <numFmt numFmtId="189" formatCode="mmmm\ d\,\ yyyy"/>
    <numFmt numFmtId="190" formatCode="m/d/yy;@"/>
    <numFmt numFmtId="191" formatCode="0.000000%"/>
    <numFmt numFmtId="192" formatCode="0.0"/>
    <numFmt numFmtId="193" formatCode="&quot;$&quot;#,##0.0000"/>
    <numFmt numFmtId="194" formatCode="_(* #,##0.00_);_(* \(#,##0.00\);_(* &quot;-&quot;_);_(@_)"/>
    <numFmt numFmtId="195" formatCode="[$-409]mmmm\-yy;@"/>
    <numFmt numFmtId="196" formatCode="mm/dd/yy"/>
    <numFmt numFmtId="197" formatCode="_(* #,##0.000_);_(* \(#,##0.000\);_(* &quot;-&quot;??_);_(@_)"/>
  </numFmts>
  <fonts count="159">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23"/>
      <name val="Helv"/>
    </font>
    <font>
      <sz val="12"/>
      <color indexed="10"/>
      <name val="Arial MT"/>
    </font>
    <font>
      <b/>
      <strike/>
      <u/>
      <sz val="10"/>
      <color indexed="10"/>
      <name val="Arial"/>
      <family val="2"/>
    </font>
    <font>
      <strike/>
      <u/>
      <sz val="10"/>
      <color indexed="10"/>
      <name val="Arial"/>
      <family val="2"/>
    </font>
    <font>
      <sz val="8"/>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0"/>
      <name val="Arial MT"/>
    </font>
    <font>
      <sz val="12"/>
      <name val="Arial Black"/>
      <family val="2"/>
    </font>
    <font>
      <sz val="10"/>
      <color indexed="12"/>
      <name val="Courier"/>
      <family val="3"/>
    </font>
    <font>
      <i/>
      <sz val="12"/>
      <name val="Arial Condensed Bold"/>
    </font>
    <font>
      <b/>
      <i/>
      <sz val="12"/>
      <name val="Arial MT"/>
    </font>
    <font>
      <b/>
      <u/>
      <sz val="12"/>
      <name val="Arial MT"/>
    </font>
    <font>
      <sz val="12"/>
      <name val="Arial"/>
      <family val="2"/>
    </font>
    <font>
      <b/>
      <strike/>
      <u/>
      <sz val="12"/>
      <color indexed="10"/>
      <name val="Arial"/>
      <family val="2"/>
    </font>
    <font>
      <sz val="12"/>
      <name val="Arial"/>
      <family val="2"/>
    </font>
    <font>
      <sz val="10"/>
      <name val="Tahoma"/>
      <family val="2"/>
    </font>
    <font>
      <sz val="8"/>
      <name val="Tahoma"/>
      <family val="2"/>
    </font>
    <font>
      <b/>
      <i/>
      <u/>
      <sz val="10"/>
      <name val="Arial"/>
      <family val="2"/>
    </font>
    <font>
      <b/>
      <sz val="12"/>
      <name val="Arial Condensed Bold"/>
    </font>
    <font>
      <sz val="10"/>
      <color indexed="17"/>
      <name val="Arial"/>
      <family val="2"/>
    </font>
    <font>
      <b/>
      <sz val="10"/>
      <color indexed="17"/>
      <name val="Arial"/>
      <family val="2"/>
    </font>
    <font>
      <i/>
      <sz val="14"/>
      <name val="Arial"/>
      <family val="2"/>
    </font>
    <font>
      <sz val="12"/>
      <color indexed="8"/>
      <name val="Helv"/>
    </font>
    <font>
      <sz val="12"/>
      <color indexed="8"/>
      <name val="Arial"/>
      <family val="2"/>
    </font>
    <font>
      <i/>
      <sz val="14"/>
      <name val="Helv"/>
    </font>
    <font>
      <sz val="10"/>
      <name val="Arial"/>
      <family val="2"/>
    </font>
    <font>
      <sz val="10"/>
      <name val="Arial"/>
      <family val="2"/>
    </font>
    <font>
      <sz val="12"/>
      <name val="Arial Narrow"/>
      <family val="2"/>
    </font>
    <font>
      <b/>
      <sz val="12"/>
      <name val="Arial Narrow"/>
      <family val="2"/>
    </font>
    <font>
      <b/>
      <u/>
      <sz val="12"/>
      <name val="Arial Narrow"/>
      <family val="2"/>
    </font>
    <font>
      <sz val="11"/>
      <color indexed="12"/>
      <name val="Arial"/>
      <family val="2"/>
    </font>
    <font>
      <u val="singleAccounting"/>
      <sz val="11"/>
      <name val="Arial"/>
      <family val="2"/>
    </font>
    <font>
      <b/>
      <u/>
      <sz val="11"/>
      <name val="Arial"/>
      <family val="2"/>
    </font>
    <font>
      <sz val="10"/>
      <name val="Arial"/>
      <family val="2"/>
    </font>
    <font>
      <sz val="10"/>
      <name val="Arial"/>
      <family val="2"/>
    </font>
    <font>
      <b/>
      <i/>
      <sz val="12"/>
      <name val="Times New Roman"/>
      <family val="1"/>
    </font>
    <font>
      <strike/>
      <sz val="12"/>
      <color indexed="10"/>
      <name val="Arial"/>
      <family val="2"/>
    </font>
    <font>
      <sz val="10"/>
      <color indexed="40"/>
      <name val="Arial"/>
      <family val="2"/>
    </font>
    <font>
      <sz val="10"/>
      <name val="Arial"/>
      <family val="2"/>
    </font>
    <font>
      <sz val="10"/>
      <color indexed="40"/>
      <name val="Times New Roman"/>
      <family val="1"/>
    </font>
    <font>
      <sz val="13"/>
      <name val="Times New Roman"/>
      <family val="1"/>
    </font>
    <font>
      <sz val="10"/>
      <color indexed="12"/>
      <name val="Times New Roman"/>
      <family val="1"/>
    </font>
    <font>
      <sz val="10"/>
      <name val="Arial"/>
      <family val="2"/>
    </font>
    <font>
      <b/>
      <i/>
      <sz val="12"/>
      <name val="Cambria"/>
      <family val="1"/>
    </font>
    <font>
      <sz val="10"/>
      <name val="Cambria"/>
      <family val="1"/>
    </font>
    <font>
      <sz val="12"/>
      <name val="Cambria"/>
      <family val="1"/>
    </font>
    <font>
      <b/>
      <sz val="12"/>
      <name val="Cambria"/>
      <family val="1"/>
    </font>
    <font>
      <b/>
      <sz val="10"/>
      <name val="Cambria"/>
      <family val="1"/>
    </font>
    <font>
      <b/>
      <u/>
      <sz val="12"/>
      <name val="Cambria"/>
      <family val="1"/>
    </font>
    <font>
      <sz val="12"/>
      <color indexed="12"/>
      <name val="Cambria"/>
      <family val="1"/>
    </font>
    <font>
      <i/>
      <sz val="10"/>
      <name val="Cambria"/>
      <family val="1"/>
    </font>
    <font>
      <sz val="10"/>
      <name val="Arial"/>
      <family val="2"/>
    </font>
    <font>
      <sz val="9"/>
      <color indexed="10"/>
      <name val="Arial"/>
      <family val="2"/>
    </font>
    <font>
      <sz val="11"/>
      <color theme="1"/>
      <name val="Calibri"/>
      <family val="2"/>
      <scheme val="minor"/>
    </font>
    <font>
      <sz val="11"/>
      <color theme="1"/>
      <name val="Calibri"/>
      <family val="2"/>
    </font>
    <font>
      <i/>
      <sz val="12"/>
      <color rgb="FFFF0000"/>
      <name val="Arial"/>
      <family val="2"/>
    </font>
    <font>
      <b/>
      <sz val="10"/>
      <color rgb="FFFF0000"/>
      <name val="Arial"/>
      <family val="2"/>
    </font>
    <font>
      <sz val="10"/>
      <color rgb="FF0000FF"/>
      <name val="Arial"/>
      <family val="2"/>
    </font>
    <font>
      <sz val="11"/>
      <color theme="1"/>
      <name val="Arial"/>
      <family val="2"/>
    </font>
    <font>
      <sz val="10"/>
      <color rgb="FFFF0000"/>
      <name val="Arial"/>
      <family val="2"/>
    </font>
    <font>
      <b/>
      <sz val="10"/>
      <color rgb="FF0000FF"/>
      <name val="Arial"/>
      <family val="2"/>
    </font>
    <font>
      <sz val="12"/>
      <color rgb="FFFF000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23"/>
        <bgColor indexed="64"/>
      </patternFill>
    </fill>
    <fill>
      <patternFill patternType="solid">
        <fgColor indexed="55"/>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0" tint="-0.24991607409894101"/>
        <bgColor indexed="64"/>
      </patternFill>
    </fill>
    <fill>
      <patternFill patternType="darkUp">
        <bgColor theme="0" tint="-0.14990691854609822"/>
      </patternFill>
    </fill>
  </fills>
  <borders count="49">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8"/>
      </top>
      <bottom/>
      <diagonal/>
    </border>
    <border>
      <left/>
      <right/>
      <top/>
      <bottom style="double">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74">
    <xf numFmtId="0" fontId="0" fillId="0" borderId="0"/>
    <xf numFmtId="0" fontId="37" fillId="2" borderId="0" applyNumberFormat="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8" fillId="12" borderId="0" applyNumberFormat="0" applyBorder="0" applyAlignment="0" applyProtection="0"/>
    <xf numFmtId="0" fontId="38" fillId="12"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172" fontId="40" fillId="0" borderId="0" applyFill="0"/>
    <xf numFmtId="172" fontId="40" fillId="0" borderId="0">
      <alignment horizontal="center"/>
    </xf>
    <xf numFmtId="0" fontId="40" fillId="0" borderId="0" applyFill="0">
      <alignment horizontal="center"/>
    </xf>
    <xf numFmtId="172" fontId="6" fillId="0" borderId="1" applyFill="0"/>
    <xf numFmtId="0" fontId="14" fillId="0" borderId="0" applyFont="0" applyAlignment="0"/>
    <xf numFmtId="0" fontId="41" fillId="0" borderId="0" applyFill="0">
      <alignment vertical="top"/>
    </xf>
    <xf numFmtId="0" fontId="6" fillId="0" borderId="0" applyFill="0">
      <alignment horizontal="left" vertical="top"/>
    </xf>
    <xf numFmtId="172" fontId="8" fillId="0" borderId="2" applyFill="0"/>
    <xf numFmtId="0" fontId="14" fillId="0" borderId="0" applyNumberFormat="0" applyFont="0" applyAlignment="0"/>
    <xf numFmtId="0" fontId="41" fillId="0" borderId="0" applyFill="0">
      <alignment wrapText="1"/>
    </xf>
    <xf numFmtId="0" fontId="6" fillId="0" borderId="0" applyFill="0">
      <alignment horizontal="left" vertical="top" wrapText="1"/>
    </xf>
    <xf numFmtId="172" fontId="42" fillId="0" borderId="0" applyFill="0"/>
    <xf numFmtId="0" fontId="43" fillId="0" borderId="0" applyNumberFormat="0" applyFont="0" applyAlignment="0">
      <alignment horizontal="center"/>
    </xf>
    <xf numFmtId="0" fontId="44" fillId="0" borderId="0" applyFill="0">
      <alignment vertical="top" wrapText="1"/>
    </xf>
    <xf numFmtId="0" fontId="8" fillId="0" borderId="0" applyFill="0">
      <alignment horizontal="left" vertical="top" wrapText="1"/>
    </xf>
    <xf numFmtId="172" fontId="14" fillId="0" borderId="0" applyFill="0"/>
    <xf numFmtId="0" fontId="43" fillId="0" borderId="0" applyNumberFormat="0" applyFont="0" applyAlignment="0">
      <alignment horizontal="center"/>
    </xf>
    <xf numFmtId="0" fontId="30" fillId="0" borderId="0" applyFill="0">
      <alignment vertical="center" wrapText="1"/>
    </xf>
    <xf numFmtId="0" fontId="7" fillId="0" borderId="0">
      <alignment horizontal="left" vertical="center" wrapText="1"/>
    </xf>
    <xf numFmtId="172" fontId="26" fillId="0" borderId="0" applyFill="0"/>
    <xf numFmtId="0" fontId="43" fillId="0" borderId="0" applyNumberFormat="0" applyFont="0" applyAlignment="0">
      <alignment horizontal="center"/>
    </xf>
    <xf numFmtId="0" fontId="18" fillId="0" borderId="0" applyFill="0">
      <alignment horizontal="center" vertical="center" wrapText="1"/>
    </xf>
    <xf numFmtId="0" fontId="14" fillId="0" borderId="0" applyFill="0">
      <alignment horizontal="center" vertical="center" wrapText="1"/>
    </xf>
    <xf numFmtId="172" fontId="45" fillId="0" borderId="0" applyFill="0"/>
    <xf numFmtId="0" fontId="43" fillId="0" borderId="0" applyNumberFormat="0" applyFont="0" applyAlignment="0">
      <alignment horizontal="center"/>
    </xf>
    <xf numFmtId="0" fontId="46" fillId="0" borderId="0" applyFill="0">
      <alignment horizontal="center" vertical="center" wrapText="1"/>
    </xf>
    <xf numFmtId="0" fontId="47" fillId="0" borderId="0" applyFill="0">
      <alignment horizontal="center" vertical="center" wrapText="1"/>
    </xf>
    <xf numFmtId="172" fontId="48" fillId="0" borderId="0" applyFill="0"/>
    <xf numFmtId="0" fontId="43" fillId="0" borderId="0" applyNumberFormat="0" applyFont="0" applyAlignment="0">
      <alignment horizontal="center"/>
    </xf>
    <xf numFmtId="0" fontId="49" fillId="0" borderId="0">
      <alignment horizontal="center" wrapText="1"/>
    </xf>
    <xf numFmtId="0" fontId="45" fillId="0" borderId="0" applyFill="0">
      <alignment horizontal="center" wrapText="1"/>
    </xf>
    <xf numFmtId="0" fontId="50" fillId="20" borderId="3" applyNumberFormat="0" applyAlignment="0" applyProtection="0"/>
    <xf numFmtId="0" fontId="50" fillId="20" borderId="3" applyNumberFormat="0" applyAlignment="0" applyProtection="0"/>
    <xf numFmtId="0" fontId="51" fillId="21" borderId="4" applyNumberFormat="0" applyAlignment="0" applyProtection="0"/>
    <xf numFmtId="0" fontId="51" fillId="21" borderId="4" applyNumberFormat="0" applyAlignment="0" applyProtection="0"/>
    <xf numFmtId="43" fontId="4" fillId="0" borderId="0" applyFont="0" applyFill="0" applyBorder="0" applyAlignment="0" applyProtection="0"/>
    <xf numFmtId="43" fontId="15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30" fillId="0" borderId="0" applyFont="0" applyFill="0" applyBorder="0" applyAlignment="0" applyProtection="0"/>
    <xf numFmtId="43" fontId="14" fillId="0" borderId="0" applyFont="0" applyFill="0" applyBorder="0" applyAlignment="0" applyProtection="0"/>
    <xf numFmtId="43" fontId="148" fillId="0" borderId="0" applyFont="0" applyFill="0" applyBorder="0" applyAlignment="0" applyProtection="0"/>
    <xf numFmtId="43" fontId="14" fillId="0" borderId="0" applyFont="0" applyFill="0" applyBorder="0" applyAlignment="0" applyProtection="0"/>
    <xf numFmtId="43" fontId="148" fillId="0" borderId="0" applyFont="0" applyFill="0" applyBorder="0" applyAlignment="0" applyProtection="0"/>
    <xf numFmtId="43" fontId="14" fillId="0" borderId="0" applyFont="0" applyFill="0" applyBorder="0" applyAlignment="0" applyProtection="0"/>
    <xf numFmtId="43" fontId="148" fillId="0" borderId="0" applyFont="0" applyFill="0" applyBorder="0" applyAlignment="0" applyProtection="0"/>
    <xf numFmtId="43" fontId="130" fillId="0" borderId="0" applyFont="0" applyFill="0" applyBorder="0" applyAlignment="0" applyProtection="0"/>
    <xf numFmtId="43" fontId="14" fillId="0" borderId="0" applyFont="0" applyFill="0" applyBorder="0" applyAlignment="0" applyProtection="0"/>
    <xf numFmtId="43" fontId="148" fillId="0" borderId="0" applyFont="0" applyFill="0" applyBorder="0" applyAlignment="0" applyProtection="0"/>
    <xf numFmtId="43" fontId="150" fillId="0" borderId="0" applyFont="0" applyFill="0" applyBorder="0" applyAlignment="0" applyProtection="0"/>
    <xf numFmtId="43" fontId="14" fillId="0" borderId="0" applyFont="0" applyFill="0" applyBorder="0" applyAlignment="0" applyProtection="0"/>
    <xf numFmtId="43" fontId="150" fillId="0" borderId="0" applyFont="0" applyFill="0" applyBorder="0" applyAlignment="0" applyProtection="0"/>
    <xf numFmtId="43" fontId="14" fillId="0" borderId="0" applyFont="0" applyFill="0" applyBorder="0" applyAlignment="0" applyProtection="0"/>
    <xf numFmtId="43" fontId="135" fillId="0" borderId="0" applyFont="0" applyFill="0" applyBorder="0" applyAlignment="0" applyProtection="0"/>
    <xf numFmtId="43" fontId="150" fillId="0" borderId="0" applyFont="0" applyFill="0" applyBorder="0" applyAlignment="0" applyProtection="0"/>
    <xf numFmtId="43" fontId="139" fillId="0" borderId="0" applyFont="0" applyFill="0" applyBorder="0" applyAlignment="0" applyProtection="0"/>
    <xf numFmtId="43" fontId="150" fillId="0" borderId="0" applyFont="0" applyFill="0" applyBorder="0" applyAlignment="0" applyProtection="0"/>
    <xf numFmtId="43" fontId="148" fillId="0" borderId="0" applyFont="0" applyFill="0" applyBorder="0" applyAlignment="0" applyProtection="0"/>
    <xf numFmtId="43" fontId="150" fillId="0" borderId="0" applyFont="0" applyFill="0" applyBorder="0" applyAlignment="0" applyProtection="0"/>
    <xf numFmtId="43" fontId="4" fillId="0" borderId="0" applyFont="0" applyFill="0" applyBorder="0" applyAlignment="0" applyProtection="0"/>
    <xf numFmtId="43" fontId="131" fillId="0" borderId="0" applyFont="0" applyFill="0" applyBorder="0" applyAlignment="0" applyProtection="0"/>
    <xf numFmtId="3" fontId="14" fillId="0" borderId="0" applyFont="0" applyFill="0" applyBorder="0" applyAlignment="0" applyProtection="0"/>
    <xf numFmtId="44" fontId="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30" fillId="0" borderId="0" applyFont="0" applyFill="0" applyBorder="0" applyAlignment="0" applyProtection="0"/>
    <xf numFmtId="44" fontId="14" fillId="0" borderId="0" applyFont="0" applyFill="0" applyBorder="0" applyAlignment="0" applyProtection="0"/>
    <xf numFmtId="44" fontId="148" fillId="0" borderId="0" applyFont="0" applyFill="0" applyBorder="0" applyAlignment="0" applyProtection="0"/>
    <xf numFmtId="44" fontId="14" fillId="0" borderId="0" applyFont="0" applyFill="0" applyBorder="0" applyAlignment="0" applyProtection="0"/>
    <xf numFmtId="44" fontId="148" fillId="0" borderId="0" applyFont="0" applyFill="0" applyBorder="0" applyAlignment="0" applyProtection="0"/>
    <xf numFmtId="44" fontId="148" fillId="0" borderId="0" applyFont="0" applyFill="0" applyBorder="0" applyAlignment="0" applyProtection="0"/>
    <xf numFmtId="44" fontId="130" fillId="0" borderId="0" applyFont="0" applyFill="0" applyBorder="0" applyAlignment="0" applyProtection="0"/>
    <xf numFmtId="44" fontId="14" fillId="0" borderId="0" applyFont="0" applyFill="0" applyBorder="0" applyAlignment="0" applyProtection="0"/>
    <xf numFmtId="44" fontId="148" fillId="0" borderId="0" applyFont="0" applyFill="0" applyBorder="0" applyAlignment="0" applyProtection="0"/>
    <xf numFmtId="44" fontId="150" fillId="0" borderId="0" applyFont="0" applyFill="0" applyBorder="0" applyAlignment="0" applyProtection="0"/>
    <xf numFmtId="44" fontId="14" fillId="0" borderId="0" applyFont="0" applyFill="0" applyBorder="0" applyAlignment="0" applyProtection="0"/>
    <xf numFmtId="44" fontId="150" fillId="0" borderId="0" applyFont="0" applyFill="0" applyBorder="0" applyAlignment="0" applyProtection="0"/>
    <xf numFmtId="44" fontId="148" fillId="0" borderId="0" applyFont="0" applyFill="0" applyBorder="0" applyAlignment="0" applyProtection="0"/>
    <xf numFmtId="5" fontId="14" fillId="0" borderId="0" applyFont="0" applyFill="0" applyBorder="0" applyAlignment="0" applyProtection="0"/>
    <xf numFmtId="14" fontId="14" fillId="0" borderId="0" applyFon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2" fontId="14" fillId="0" borderId="0" applyFont="0" applyFill="0" applyBorder="0" applyAlignment="0" applyProtection="0"/>
    <xf numFmtId="0" fontId="53" fillId="4" borderId="0" applyNumberFormat="0" applyBorder="0" applyAlignment="0" applyProtection="0"/>
    <xf numFmtId="0" fontId="53" fillId="4" borderId="0" applyNumberFormat="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54" fillId="0" borderId="5" applyNumberFormat="0" applyFill="0" applyAlignment="0" applyProtection="0"/>
    <xf numFmtId="0" fontId="54" fillId="0" borderId="5"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6"/>
    <xf numFmtId="0" fontId="56" fillId="0" borderId="0"/>
    <xf numFmtId="0" fontId="57" fillId="7" borderId="3" applyNumberFormat="0" applyAlignment="0" applyProtection="0"/>
    <xf numFmtId="0" fontId="57" fillId="7" borderId="3" applyNumberFormat="0" applyAlignment="0" applyProtection="0"/>
    <xf numFmtId="0" fontId="58" fillId="0" borderId="7" applyNumberFormat="0" applyFill="0" applyAlignment="0" applyProtection="0"/>
    <xf numFmtId="0" fontId="58" fillId="0" borderId="7" applyNumberFormat="0" applyFill="0" applyAlignment="0" applyProtection="0"/>
    <xf numFmtId="0" fontId="59" fillId="22" borderId="0" applyNumberFormat="0" applyBorder="0" applyAlignment="0" applyProtection="0"/>
    <xf numFmtId="0" fontId="59" fillId="22" borderId="0" applyNumberFormat="0" applyBorder="0" applyAlignment="0" applyProtection="0"/>
    <xf numFmtId="3" fontId="130" fillId="0" borderId="0"/>
    <xf numFmtId="3" fontId="14" fillId="0" borderId="0"/>
    <xf numFmtId="3" fontId="14" fillId="0" borderId="0"/>
    <xf numFmtId="3" fontId="14" fillId="0" borderId="0"/>
    <xf numFmtId="3" fontId="148" fillId="0" borderId="0"/>
    <xf numFmtId="0" fontId="130" fillId="0" borderId="0"/>
    <xf numFmtId="0" fontId="14" fillId="0" borderId="0"/>
    <xf numFmtId="3" fontId="14" fillId="0" borderId="0"/>
    <xf numFmtId="3" fontId="14" fillId="0" borderId="0"/>
    <xf numFmtId="0" fontId="148" fillId="0" borderId="0"/>
    <xf numFmtId="3" fontId="14" fillId="0" borderId="0"/>
    <xf numFmtId="3" fontId="14" fillId="0" borderId="0"/>
    <xf numFmtId="0" fontId="150" fillId="0" borderId="0"/>
    <xf numFmtId="3" fontId="14" fillId="0" borderId="0"/>
    <xf numFmtId="3" fontId="14" fillId="0" borderId="0"/>
    <xf numFmtId="3" fontId="14" fillId="0" borderId="0"/>
    <xf numFmtId="3" fontId="14" fillId="0" borderId="0"/>
    <xf numFmtId="0"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0" fontId="14" fillId="0" borderId="0"/>
    <xf numFmtId="0" fontId="14" fillId="0" borderId="0"/>
    <xf numFmtId="0" fontId="151" fillId="0" borderId="0"/>
    <xf numFmtId="0" fontId="14" fillId="0" borderId="0"/>
    <xf numFmtId="0" fontId="14" fillId="0" borderId="0"/>
    <xf numFmtId="0" fontId="151" fillId="0" borderId="0"/>
    <xf numFmtId="0" fontId="14" fillId="0" borderId="0"/>
    <xf numFmtId="0"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3" fontId="14" fillId="0" borderId="0"/>
    <xf numFmtId="0" fontId="14" fillId="0" borderId="0"/>
    <xf numFmtId="0" fontId="14" fillId="0" borderId="0"/>
    <xf numFmtId="3" fontId="14" fillId="0" borderId="0"/>
    <xf numFmtId="0" fontId="14" fillId="0" borderId="0"/>
    <xf numFmtId="0" fontId="150"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0" fillId="0" borderId="0"/>
    <xf numFmtId="0" fontId="14" fillId="0" borderId="0"/>
    <xf numFmtId="0" fontId="148" fillId="0" borderId="0"/>
    <xf numFmtId="0" fontId="14" fillId="0" borderId="0"/>
    <xf numFmtId="0" fontId="148" fillId="0" borderId="0"/>
    <xf numFmtId="0" fontId="14" fillId="0" borderId="0"/>
    <xf numFmtId="0" fontId="148" fillId="0" borderId="0"/>
    <xf numFmtId="0" fontId="14" fillId="0" borderId="0"/>
    <xf numFmtId="0" fontId="14" fillId="0" borderId="0"/>
    <xf numFmtId="0" fontId="14" fillId="0" borderId="0"/>
    <xf numFmtId="3" fontId="14" fillId="0" borderId="0"/>
    <xf numFmtId="3" fontId="14" fillId="0" borderId="0"/>
    <xf numFmtId="0" fontId="130" fillId="0" borderId="0"/>
    <xf numFmtId="0" fontId="14" fillId="0" borderId="0"/>
    <xf numFmtId="0" fontId="148" fillId="0" borderId="0"/>
    <xf numFmtId="0" fontId="130" fillId="0" borderId="0"/>
    <xf numFmtId="0" fontId="14" fillId="0" borderId="0"/>
    <xf numFmtId="0" fontId="14" fillId="0" borderId="0"/>
    <xf numFmtId="0" fontId="14" fillId="0" borderId="0"/>
    <xf numFmtId="0" fontId="148" fillId="0" borderId="0"/>
    <xf numFmtId="0" fontId="14" fillId="0" borderId="0"/>
    <xf numFmtId="0" fontId="14" fillId="0" borderId="0"/>
    <xf numFmtId="0" fontId="148" fillId="0" borderId="0"/>
    <xf numFmtId="0" fontId="14" fillId="0" borderId="0"/>
    <xf numFmtId="0" fontId="150" fillId="0" borderId="0"/>
    <xf numFmtId="0" fontId="130" fillId="0" borderId="0"/>
    <xf numFmtId="0" fontId="14" fillId="0" borderId="0"/>
    <xf numFmtId="0" fontId="150" fillId="0" borderId="0"/>
    <xf numFmtId="0" fontId="148" fillId="0" borderId="0"/>
    <xf numFmtId="0" fontId="130" fillId="0" borderId="0"/>
    <xf numFmtId="0" fontId="14" fillId="0" borderId="0"/>
    <xf numFmtId="0" fontId="150" fillId="0" borderId="0"/>
    <xf numFmtId="0" fontId="148" fillId="0" borderId="0"/>
    <xf numFmtId="0" fontId="130" fillId="0" borderId="0"/>
    <xf numFmtId="0" fontId="14" fillId="0" borderId="0"/>
    <xf numFmtId="0" fontId="150" fillId="0" borderId="0"/>
    <xf numFmtId="0" fontId="148" fillId="0" borderId="0"/>
    <xf numFmtId="0" fontId="5" fillId="0" borderId="0" applyProtection="0"/>
    <xf numFmtId="0" fontId="4" fillId="0" borderId="0"/>
    <xf numFmtId="0" fontId="14" fillId="0" borderId="0"/>
    <xf numFmtId="0" fontId="14" fillId="0" borderId="0"/>
    <xf numFmtId="0" fontId="14" fillId="0" borderId="0"/>
    <xf numFmtId="172" fontId="5" fillId="0" borderId="0" applyProtection="0"/>
    <xf numFmtId="0" fontId="4" fillId="0" borderId="0"/>
    <xf numFmtId="172" fontId="5" fillId="0" borderId="0" applyProtection="0"/>
    <xf numFmtId="172" fontId="5" fillId="0" borderId="0" applyProtection="0"/>
    <xf numFmtId="0" fontId="72" fillId="0" borderId="0"/>
    <xf numFmtId="0" fontId="14" fillId="0" borderId="0"/>
    <xf numFmtId="0" fontId="5" fillId="0" borderId="0"/>
    <xf numFmtId="0" fontId="14" fillId="0" borderId="0"/>
    <xf numFmtId="0" fontId="4" fillId="0" borderId="0"/>
    <xf numFmtId="0" fontId="131" fillId="0" borderId="0"/>
    <xf numFmtId="0" fontId="112" fillId="0" borderId="0"/>
    <xf numFmtId="0" fontId="5" fillId="23" borderId="8" applyNumberFormat="0" applyFont="0" applyAlignment="0" applyProtection="0"/>
    <xf numFmtId="0" fontId="5" fillId="23" borderId="8" applyNumberFormat="0" applyFont="0" applyAlignment="0" applyProtection="0"/>
    <xf numFmtId="0" fontId="60" fillId="20" borderId="9" applyNumberFormat="0" applyAlignment="0" applyProtection="0"/>
    <xf numFmtId="0" fontId="60" fillId="20" borderId="9" applyNumberFormat="0" applyAlignment="0" applyProtection="0"/>
    <xf numFmtId="9" fontId="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0" fillId="0" borderId="0" applyFont="0" applyFill="0" applyBorder="0" applyAlignment="0" applyProtection="0"/>
    <xf numFmtId="9" fontId="14" fillId="0" borderId="0" applyFont="0" applyFill="0" applyBorder="0" applyAlignment="0" applyProtection="0"/>
    <xf numFmtId="9" fontId="148" fillId="0" borderId="0" applyFont="0" applyFill="0" applyBorder="0" applyAlignment="0" applyProtection="0"/>
    <xf numFmtId="9" fontId="14" fillId="0" borderId="0" applyFont="0" applyFill="0" applyBorder="0" applyAlignment="0" applyProtection="0"/>
    <xf numFmtId="9" fontId="148" fillId="0" borderId="0" applyFont="0" applyFill="0" applyBorder="0" applyAlignment="0" applyProtection="0"/>
    <xf numFmtId="9" fontId="148" fillId="0" borderId="0" applyFont="0" applyFill="0" applyBorder="0" applyAlignment="0" applyProtection="0"/>
    <xf numFmtId="9" fontId="14" fillId="0" borderId="0" applyFont="0" applyFill="0" applyBorder="0" applyAlignment="0" applyProtection="0"/>
    <xf numFmtId="9" fontId="130" fillId="0" borderId="0" applyFont="0" applyFill="0" applyBorder="0" applyAlignment="0" applyProtection="0"/>
    <xf numFmtId="9" fontId="14" fillId="0" borderId="0" applyFont="0" applyFill="0" applyBorder="0" applyAlignment="0" applyProtection="0"/>
    <xf numFmtId="9" fontId="148" fillId="0" borderId="0" applyFont="0" applyFill="0" applyBorder="0" applyAlignment="0" applyProtection="0"/>
    <xf numFmtId="9" fontId="150" fillId="0" borderId="0" applyFont="0" applyFill="0" applyBorder="0" applyAlignment="0" applyProtection="0"/>
    <xf numFmtId="9" fontId="14" fillId="0" borderId="0" applyFont="0" applyFill="0" applyBorder="0" applyAlignment="0" applyProtection="0"/>
    <xf numFmtId="9" fontId="150" fillId="0" borderId="0" applyFont="0" applyFill="0" applyBorder="0" applyAlignment="0" applyProtection="0"/>
    <xf numFmtId="9" fontId="150" fillId="0" borderId="0" applyFont="0" applyFill="0" applyBorder="0" applyAlignment="0" applyProtection="0"/>
    <xf numFmtId="9" fontId="148" fillId="0" borderId="0" applyFont="0" applyFill="0" applyBorder="0" applyAlignment="0" applyProtection="0"/>
    <xf numFmtId="0" fontId="35" fillId="0" borderId="0" applyNumberFormat="0" applyFont="0" applyFill="0" applyBorder="0" applyAlignment="0" applyProtection="0">
      <alignment horizontal="left"/>
    </xf>
    <xf numFmtId="15" fontId="35" fillId="0" borderId="0" applyFont="0" applyFill="0" applyBorder="0" applyAlignment="0" applyProtection="0"/>
    <xf numFmtId="4" fontId="35" fillId="0" borderId="0" applyFont="0" applyFill="0" applyBorder="0" applyAlignment="0" applyProtection="0"/>
    <xf numFmtId="3" fontId="14" fillId="0" borderId="0">
      <alignment horizontal="left" vertical="top"/>
    </xf>
    <xf numFmtId="0" fontId="36" fillId="0" borderId="6">
      <alignment horizontal="center"/>
    </xf>
    <xf numFmtId="3" fontId="35" fillId="0" borderId="0" applyFont="0" applyFill="0" applyBorder="0" applyAlignment="0" applyProtection="0"/>
    <xf numFmtId="0" fontId="35" fillId="24" borderId="0" applyNumberFormat="0" applyFont="0" applyBorder="0" applyAlignment="0" applyProtection="0"/>
    <xf numFmtId="3" fontId="14" fillId="0" borderId="0">
      <alignment horizontal="right" vertical="top"/>
    </xf>
    <xf numFmtId="41" fontId="7" fillId="25" borderId="10" applyFill="0"/>
    <xf numFmtId="0" fontId="61" fillId="0" borderId="0">
      <alignment horizontal="left" indent="7"/>
    </xf>
    <xf numFmtId="41" fontId="7" fillId="0" borderId="10" applyFill="0">
      <alignment horizontal="left" indent="2"/>
    </xf>
    <xf numFmtId="172" fontId="27" fillId="0" borderId="11" applyFill="0">
      <alignment horizontal="right"/>
    </xf>
    <xf numFmtId="0" fontId="11" fillId="0" borderId="12" applyNumberFormat="0" applyFont="0" applyBorder="0">
      <alignment horizontal="right"/>
    </xf>
    <xf numFmtId="0" fontId="62" fillId="0" borderId="0" applyFill="0"/>
    <xf numFmtId="0" fontId="8" fillId="0" borderId="0" applyFill="0"/>
    <xf numFmtId="4" fontId="27" fillId="0" borderId="11" applyFill="0"/>
    <xf numFmtId="0" fontId="14" fillId="0" borderId="0" applyNumberFormat="0" applyFont="0" applyBorder="0" applyAlignment="0"/>
    <xf numFmtId="0" fontId="44" fillId="0" borderId="0" applyFill="0">
      <alignment horizontal="left" indent="1"/>
    </xf>
    <xf numFmtId="0" fontId="63" fillId="0" borderId="0" applyFill="0">
      <alignment horizontal="left" indent="1"/>
    </xf>
    <xf numFmtId="4" fontId="26" fillId="0" borderId="0" applyFill="0"/>
    <xf numFmtId="0" fontId="14" fillId="0" borderId="0" applyNumberFormat="0" applyFont="0" applyFill="0" applyBorder="0" applyAlignment="0"/>
    <xf numFmtId="0" fontId="44" fillId="0" borderId="0" applyFill="0">
      <alignment horizontal="left" indent="2"/>
    </xf>
    <xf numFmtId="0" fontId="8" fillId="0" borderId="0" applyFill="0">
      <alignment horizontal="left" indent="2"/>
    </xf>
    <xf numFmtId="4" fontId="26" fillId="0" borderId="0" applyFill="0"/>
    <xf numFmtId="0" fontId="14" fillId="0" borderId="0" applyNumberFormat="0" applyFont="0" applyBorder="0" applyAlignment="0"/>
    <xf numFmtId="0" fontId="64" fillId="0" borderId="0">
      <alignment horizontal="left" indent="3"/>
    </xf>
    <xf numFmtId="0" fontId="65" fillId="0" borderId="0" applyFill="0">
      <alignment horizontal="left" indent="3"/>
    </xf>
    <xf numFmtId="4" fontId="26" fillId="0" borderId="0" applyFill="0"/>
    <xf numFmtId="0" fontId="14" fillId="0" borderId="0" applyNumberFormat="0" applyFont="0" applyBorder="0" applyAlignment="0"/>
    <xf numFmtId="0" fontId="18" fillId="0" borderId="0">
      <alignment horizontal="left" indent="4"/>
    </xf>
    <xf numFmtId="0" fontId="14" fillId="0" borderId="0" applyFill="0">
      <alignment horizontal="left" indent="4"/>
    </xf>
    <xf numFmtId="4" fontId="45" fillId="0" borderId="0" applyFill="0"/>
    <xf numFmtId="0" fontId="14" fillId="0" borderId="0" applyNumberFormat="0" applyFont="0" applyBorder="0" applyAlignment="0"/>
    <xf numFmtId="0" fontId="46" fillId="0" borderId="0">
      <alignment horizontal="left" indent="5"/>
    </xf>
    <xf numFmtId="0" fontId="47" fillId="0" borderId="0" applyFill="0">
      <alignment horizontal="left" indent="5"/>
    </xf>
    <xf numFmtId="4" fontId="48" fillId="0" borderId="0" applyFill="0"/>
    <xf numFmtId="0" fontId="14" fillId="0" borderId="0" applyNumberFormat="0" applyFont="0" applyFill="0" applyBorder="0" applyAlignment="0"/>
    <xf numFmtId="0" fontId="49" fillId="0" borderId="0" applyFill="0">
      <alignment horizontal="left" indent="6"/>
    </xf>
    <xf numFmtId="0" fontId="45" fillId="0" borderId="0" applyFill="0">
      <alignment horizontal="left" indent="6"/>
    </xf>
    <xf numFmtId="0" fontId="66" fillId="0" borderId="0" applyNumberFormat="0" applyFill="0" applyBorder="0" applyAlignment="0" applyProtection="0"/>
    <xf numFmtId="0" fontId="66" fillId="0" borderId="0" applyNumberForma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72" fontId="5" fillId="0" borderId="0" applyProtection="0"/>
    <xf numFmtId="0" fontId="3" fillId="0" borderId="0"/>
    <xf numFmtId="43" fontId="5" fillId="0" borderId="0" applyFont="0" applyFill="0" applyBorder="0" applyAlignment="0" applyProtection="0"/>
    <xf numFmtId="0" fontId="4" fillId="0" borderId="0"/>
    <xf numFmtId="9" fontId="5" fillId="0" borderId="0" applyFont="0" applyFill="0" applyBorder="0" applyAlignment="0" applyProtection="0"/>
    <xf numFmtId="172" fontId="5" fillId="0" borderId="0" applyProtection="0"/>
    <xf numFmtId="43" fontId="5" fillId="0" borderId="0" applyFont="0" applyFill="0" applyBorder="0" applyAlignment="0" applyProtection="0"/>
    <xf numFmtId="0" fontId="3" fillId="0" borderId="0"/>
    <xf numFmtId="9" fontId="5" fillId="0" borderId="0" applyFont="0" applyFill="0" applyBorder="0" applyAlignment="0" applyProtection="0"/>
    <xf numFmtId="0" fontId="2" fillId="0" borderId="0"/>
    <xf numFmtId="0" fontId="4" fillId="0" borderId="0"/>
    <xf numFmtId="0" fontId="4" fillId="0" borderId="0"/>
    <xf numFmtId="43" fontId="4" fillId="0" borderId="0" applyFont="0" applyFill="0" applyBorder="0" applyAlignment="0" applyProtection="0"/>
    <xf numFmtId="43" fontId="1" fillId="0" borderId="0" applyFont="0" applyFill="0" applyBorder="0" applyAlignment="0" applyProtection="0"/>
  </cellStyleXfs>
  <cellXfs count="1252">
    <xf numFmtId="0" fontId="0" fillId="0" borderId="0" xfId="0"/>
    <xf numFmtId="0" fontId="0" fillId="0" borderId="0" xfId="0" applyAlignment="1">
      <alignment horizontal="center"/>
    </xf>
    <xf numFmtId="3" fontId="7" fillId="0" borderId="0" xfId="0" applyNumberFormat="1" applyFont="1" applyAlignment="1">
      <alignment horizontal="center"/>
    </xf>
    <xf numFmtId="0" fontId="14" fillId="0" borderId="0" xfId="0" applyFont="1"/>
    <xf numFmtId="0" fontId="11" fillId="0" borderId="0" xfId="270" applyFont="1" applyAlignment="1">
      <alignment horizontal="center"/>
    </xf>
    <xf numFmtId="0" fontId="17" fillId="0" borderId="0" xfId="270" applyFont="1"/>
    <xf numFmtId="0" fontId="6" fillId="0" borderId="0" xfId="0" applyFont="1"/>
    <xf numFmtId="0" fontId="14" fillId="0" borderId="0" xfId="270" applyFont="1"/>
    <xf numFmtId="0" fontId="17" fillId="0" borderId="0" xfId="270" applyFont="1" applyAlignment="1">
      <alignment horizontal="left"/>
    </xf>
    <xf numFmtId="3" fontId="14" fillId="0" borderId="0" xfId="0" applyNumberFormat="1" applyFont="1"/>
    <xf numFmtId="0" fontId="7" fillId="0" borderId="0" xfId="270" applyFont="1" applyAlignment="1">
      <alignment horizontal="right"/>
    </xf>
    <xf numFmtId="40" fontId="14" fillId="0" borderId="0" xfId="0" applyNumberFormat="1" applyFont="1"/>
    <xf numFmtId="0" fontId="7" fillId="0" borderId="0" xfId="270" applyFont="1"/>
    <xf numFmtId="0" fontId="11" fillId="0" borderId="0" xfId="270" applyFont="1" applyAlignment="1">
      <alignment horizontal="left"/>
    </xf>
    <xf numFmtId="0" fontId="14" fillId="0" borderId="0" xfId="270" applyFont="1" applyAlignment="1">
      <alignment horizontal="left"/>
    </xf>
    <xf numFmtId="0" fontId="8" fillId="0" borderId="0" xfId="270" applyFont="1" applyAlignment="1">
      <alignment horizontal="center"/>
    </xf>
    <xf numFmtId="0" fontId="28" fillId="0" borderId="0" xfId="0" applyFont="1"/>
    <xf numFmtId="0" fontId="7" fillId="0" borderId="0" xfId="0" applyFont="1" applyAlignment="1">
      <alignment horizontal="center"/>
    </xf>
    <xf numFmtId="3" fontId="21" fillId="0" borderId="0" xfId="0" applyNumberFormat="1" applyFont="1"/>
    <xf numFmtId="41" fontId="29" fillId="0" borderId="0" xfId="270" applyNumberFormat="1" applyFont="1"/>
    <xf numFmtId="0" fontId="30" fillId="0" borderId="0" xfId="270" applyFont="1" applyAlignment="1">
      <alignment horizontal="left"/>
    </xf>
    <xf numFmtId="0" fontId="28" fillId="0" borderId="0" xfId="270" applyFont="1"/>
    <xf numFmtId="41" fontId="28" fillId="0" borderId="0" xfId="270" applyNumberFormat="1" applyFont="1"/>
    <xf numFmtId="41" fontId="28" fillId="0" borderId="0" xfId="270" applyNumberFormat="1" applyFont="1" applyAlignment="1">
      <alignment vertical="top"/>
    </xf>
    <xf numFmtId="180" fontId="28" fillId="0" borderId="0" xfId="270" applyNumberFormat="1" applyFont="1"/>
    <xf numFmtId="0" fontId="28" fillId="0" borderId="0" xfId="270" applyFont="1" applyAlignment="1">
      <alignment horizontal="left"/>
    </xf>
    <xf numFmtId="0" fontId="31" fillId="0" borderId="0" xfId="270" applyFont="1"/>
    <xf numFmtId="0" fontId="28" fillId="0" borderId="0" xfId="270" applyFont="1" applyAlignment="1">
      <alignment horizontal="center"/>
    </xf>
    <xf numFmtId="0" fontId="12" fillId="0" borderId="0" xfId="270" applyFont="1" applyAlignment="1">
      <alignment horizontal="center"/>
    </xf>
    <xf numFmtId="173" fontId="28" fillId="0" borderId="0" xfId="270" applyNumberFormat="1" applyFont="1"/>
    <xf numFmtId="173" fontId="28" fillId="0" borderId="0" xfId="270" applyNumberFormat="1" applyFont="1" applyAlignment="1">
      <alignment vertical="top"/>
    </xf>
    <xf numFmtId="41" fontId="28" fillId="0" borderId="13" xfId="270" applyNumberFormat="1" applyFont="1" applyBorder="1"/>
    <xf numFmtId="173" fontId="8" fillId="0" borderId="0" xfId="86" applyNumberFormat="1" applyFont="1" applyFill="1" applyAlignment="1">
      <alignment horizontal="center"/>
    </xf>
    <xf numFmtId="0" fontId="7" fillId="0" borderId="0" xfId="270" applyFont="1" applyAlignment="1">
      <alignment horizontal="center"/>
    </xf>
    <xf numFmtId="0" fontId="32" fillId="0" borderId="0" xfId="270" applyFont="1"/>
    <xf numFmtId="41" fontId="7" fillId="0" borderId="13" xfId="270" applyNumberFormat="1" applyFont="1" applyBorder="1"/>
    <xf numFmtId="38" fontId="14" fillId="0" borderId="0" xfId="0" applyNumberFormat="1" applyFont="1"/>
    <xf numFmtId="40" fontId="28" fillId="0" borderId="0" xfId="270" applyNumberFormat="1" applyFont="1"/>
    <xf numFmtId="43" fontId="7" fillId="0" borderId="0" xfId="270" applyNumberFormat="1" applyFont="1"/>
    <xf numFmtId="3" fontId="7" fillId="0" borderId="0" xfId="0" applyNumberFormat="1" applyFont="1"/>
    <xf numFmtId="41" fontId="29" fillId="25" borderId="0" xfId="270" applyNumberFormat="1" applyFont="1" applyFill="1"/>
    <xf numFmtId="0" fontId="34" fillId="0" borderId="0" xfId="0" applyFont="1"/>
    <xf numFmtId="0" fontId="21" fillId="0" borderId="0" xfId="270" applyFont="1"/>
    <xf numFmtId="0" fontId="14" fillId="0" borderId="0" xfId="270" applyFont="1" applyAlignment="1">
      <alignment horizontal="center"/>
    </xf>
    <xf numFmtId="0" fontId="7" fillId="0" borderId="0" xfId="220" applyFont="1" applyAlignment="1">
      <alignment horizontal="center"/>
    </xf>
    <xf numFmtId="49" fontId="7" fillId="0" borderId="0" xfId="270" applyNumberFormat="1" applyFont="1" applyAlignment="1">
      <alignment horizontal="center"/>
    </xf>
    <xf numFmtId="3" fontId="12" fillId="0" borderId="0" xfId="0" applyNumberFormat="1" applyFont="1" applyAlignment="1">
      <alignment horizontal="center"/>
    </xf>
    <xf numFmtId="0" fontId="14" fillId="0" borderId="0" xfId="0" applyFont="1" applyAlignment="1">
      <alignment horizontal="center"/>
    </xf>
    <xf numFmtId="0" fontId="73" fillId="0" borderId="0" xfId="278" applyFont="1"/>
    <xf numFmtId="184" fontId="20" fillId="0" borderId="0" xfId="278" applyNumberFormat="1" applyFont="1" applyAlignment="1">
      <alignment horizontal="center"/>
    </xf>
    <xf numFmtId="0" fontId="14" fillId="0" borderId="0" xfId="278" applyFont="1"/>
    <xf numFmtId="0" fontId="20" fillId="0" borderId="0" xfId="278" applyFont="1"/>
    <xf numFmtId="0" fontId="20" fillId="0" borderId="0" xfId="278" applyFont="1" applyAlignment="1">
      <alignment horizontal="center"/>
    </xf>
    <xf numFmtId="0" fontId="75" fillId="0" borderId="0" xfId="278" applyFont="1"/>
    <xf numFmtId="0" fontId="76" fillId="0" borderId="0" xfId="278" applyFont="1"/>
    <xf numFmtId="184" fontId="14" fillId="0" borderId="0" xfId="278" applyNumberFormat="1" applyFont="1"/>
    <xf numFmtId="0" fontId="77" fillId="0" borderId="0" xfId="275" applyFont="1" applyAlignment="1">
      <alignment horizontal="center"/>
    </xf>
    <xf numFmtId="0" fontId="77" fillId="0" borderId="0" xfId="275" applyFont="1" applyAlignment="1">
      <alignment horizontal="left" indent="2"/>
    </xf>
    <xf numFmtId="39" fontId="77" fillId="0" borderId="0" xfId="275" applyNumberFormat="1" applyFont="1"/>
    <xf numFmtId="0" fontId="14" fillId="0" borderId="0" xfId="278" applyFont="1" applyAlignment="1">
      <alignment horizontal="center"/>
    </xf>
    <xf numFmtId="173" fontId="73" fillId="0" borderId="14" xfId="86" applyNumberFormat="1" applyFont="1" applyBorder="1"/>
    <xf numFmtId="0" fontId="73" fillId="0" borderId="0" xfId="0" applyFont="1"/>
    <xf numFmtId="173" fontId="0" fillId="0" borderId="0" xfId="0" applyNumberFormat="1"/>
    <xf numFmtId="0" fontId="82" fillId="0" borderId="0" xfId="270" applyFont="1" applyAlignment="1">
      <alignment horizontal="left"/>
    </xf>
    <xf numFmtId="0" fontId="6" fillId="0" borderId="0" xfId="0" applyFont="1" applyAlignment="1">
      <alignment horizontal="center"/>
    </xf>
    <xf numFmtId="0" fontId="6" fillId="0" borderId="0" xfId="220" applyFont="1" applyAlignment="1">
      <alignment horizontal="center"/>
    </xf>
    <xf numFmtId="173" fontId="73" fillId="0" borderId="0" xfId="278" applyNumberFormat="1" applyFont="1"/>
    <xf numFmtId="3" fontId="6" fillId="0" borderId="0" xfId="0" applyNumberFormat="1" applyFont="1" applyAlignment="1">
      <alignment horizontal="center"/>
    </xf>
    <xf numFmtId="0" fontId="14" fillId="0" borderId="0" xfId="0" applyFont="1" applyAlignment="1">
      <alignment horizontal="centerContinuous"/>
    </xf>
    <xf numFmtId="0" fontId="19" fillId="0" borderId="0" xfId="0" applyFont="1" applyAlignment="1">
      <alignment horizontal="center"/>
    </xf>
    <xf numFmtId="0" fontId="11" fillId="0" borderId="0" xfId="0" applyFont="1" applyAlignment="1">
      <alignment horizontal="center"/>
    </xf>
    <xf numFmtId="0" fontId="0" fillId="0" borderId="0" xfId="0" applyAlignment="1">
      <alignment horizontal="left"/>
    </xf>
    <xf numFmtId="6" fontId="0" fillId="0" borderId="0" xfId="0" applyNumberFormat="1" applyAlignment="1">
      <alignment horizontal="right"/>
    </xf>
    <xf numFmtId="6" fontId="0" fillId="0" borderId="0" xfId="0" applyNumberFormat="1"/>
    <xf numFmtId="173" fontId="0" fillId="0" borderId="0" xfId="86" applyNumberFormat="1" applyFont="1"/>
    <xf numFmtId="0" fontId="4" fillId="0" borderId="0" xfId="270" applyAlignment="1">
      <alignment horizontal="left"/>
    </xf>
    <xf numFmtId="0" fontId="4" fillId="0" borderId="0" xfId="270"/>
    <xf numFmtId="0" fontId="16" fillId="0" borderId="0" xfId="270" applyFont="1"/>
    <xf numFmtId="0" fontId="85" fillId="0" borderId="0" xfId="270" applyFont="1"/>
    <xf numFmtId="9" fontId="12" fillId="0" borderId="0" xfId="270" quotePrefix="1" applyNumberFormat="1" applyFont="1" applyAlignment="1">
      <alignment horizontal="center"/>
    </xf>
    <xf numFmtId="0" fontId="6" fillId="0" borderId="0" xfId="278" applyFont="1" applyAlignment="1">
      <alignment horizontal="center"/>
    </xf>
    <xf numFmtId="0" fontId="6" fillId="0" borderId="0" xfId="278" applyFont="1"/>
    <xf numFmtId="184" fontId="6" fillId="0" borderId="0" xfId="278" applyNumberFormat="1" applyFont="1" applyAlignment="1">
      <alignment horizontal="center"/>
    </xf>
    <xf numFmtId="0" fontId="6" fillId="0" borderId="11" xfId="278" applyFont="1" applyBorder="1" applyAlignment="1">
      <alignment horizontal="center"/>
    </xf>
    <xf numFmtId="184" fontId="6" fillId="0" borderId="11" xfId="278" applyNumberFormat="1" applyFont="1" applyBorder="1" applyAlignment="1">
      <alignment horizontal="center"/>
    </xf>
    <xf numFmtId="174" fontId="0" fillId="0" borderId="0" xfId="121" applyNumberFormat="1" applyFont="1" applyAlignment="1">
      <alignment horizontal="center"/>
    </xf>
    <xf numFmtId="0" fontId="11" fillId="0" borderId="0" xfId="0" applyFont="1" applyAlignment="1">
      <alignment horizontal="left"/>
    </xf>
    <xf numFmtId="6" fontId="11" fillId="0" borderId="0" xfId="0" applyNumberFormat="1" applyFont="1" applyAlignment="1">
      <alignment horizontal="right"/>
    </xf>
    <xf numFmtId="164" fontId="0" fillId="0" borderId="0" xfId="289" applyNumberFormat="1" applyFont="1"/>
    <xf numFmtId="173" fontId="91" fillId="0" borderId="0" xfId="278" applyNumberFormat="1" applyFont="1"/>
    <xf numFmtId="0" fontId="25" fillId="0" borderId="0" xfId="270" applyFont="1" applyAlignment="1">
      <alignment horizontal="center"/>
    </xf>
    <xf numFmtId="0" fontId="94" fillId="0" borderId="0" xfId="270" applyFont="1"/>
    <xf numFmtId="173" fontId="0" fillId="0" borderId="14" xfId="0" applyNumberFormat="1" applyBorder="1"/>
    <xf numFmtId="9" fontId="0" fillId="0" borderId="0" xfId="289" applyFont="1"/>
    <xf numFmtId="0" fontId="96" fillId="0" borderId="0" xfId="0" applyFont="1" applyAlignment="1">
      <alignment horizontal="center" wrapText="1"/>
    </xf>
    <xf numFmtId="0" fontId="20" fillId="0" borderId="0" xfId="275" applyFont="1" applyAlignment="1">
      <alignment horizontal="center"/>
    </xf>
    <xf numFmtId="189" fontId="100" fillId="0" borderId="0" xfId="220" applyNumberFormat="1" applyFont="1" applyAlignment="1">
      <alignment horizontal="center"/>
    </xf>
    <xf numFmtId="38" fontId="0" fillId="0" borderId="0" xfId="0" applyNumberFormat="1"/>
    <xf numFmtId="0" fontId="4" fillId="0" borderId="0" xfId="0" applyFont="1"/>
    <xf numFmtId="0" fontId="6" fillId="0" borderId="11" xfId="278" applyFont="1" applyBorder="1"/>
    <xf numFmtId="173" fontId="80" fillId="0" borderId="0" xfId="278" applyNumberFormat="1" applyFont="1"/>
    <xf numFmtId="0" fontId="73" fillId="0" borderId="0" xfId="278" applyFont="1" applyAlignment="1">
      <alignment horizontal="center"/>
    </xf>
    <xf numFmtId="3" fontId="80" fillId="0" borderId="0" xfId="278" applyNumberFormat="1" applyFont="1"/>
    <xf numFmtId="38" fontId="24" fillId="0" borderId="0" xfId="0" applyNumberFormat="1" applyFont="1"/>
    <xf numFmtId="175" fontId="5" fillId="0" borderId="15" xfId="280" applyNumberFormat="1" applyBorder="1"/>
    <xf numFmtId="175" fontId="5" fillId="0" borderId="0" xfId="280" applyNumberFormat="1"/>
    <xf numFmtId="49" fontId="7" fillId="0" borderId="0" xfId="86" applyNumberFormat="1" applyFont="1" applyAlignment="1">
      <alignment horizontal="center"/>
    </xf>
    <xf numFmtId="0" fontId="101" fillId="0" borderId="0" xfId="278" applyFont="1"/>
    <xf numFmtId="0" fontId="121" fillId="0" borderId="0" xfId="278" applyFont="1"/>
    <xf numFmtId="0" fontId="34" fillId="0" borderId="0" xfId="270" applyFont="1"/>
    <xf numFmtId="0" fontId="109" fillId="0" borderId="0" xfId="270" applyFont="1" applyAlignment="1">
      <alignment horizontal="center"/>
    </xf>
    <xf numFmtId="0" fontId="96" fillId="0" borderId="0" xfId="0" applyFont="1" applyAlignment="1">
      <alignment horizontal="center"/>
    </xf>
    <xf numFmtId="10" fontId="5" fillId="0" borderId="0" xfId="280" applyNumberFormat="1"/>
    <xf numFmtId="41" fontId="21" fillId="30" borderId="6" xfId="277" applyNumberFormat="1" applyFont="1" applyFill="1" applyBorder="1" applyProtection="1">
      <protection locked="0"/>
    </xf>
    <xf numFmtId="3" fontId="21" fillId="30" borderId="0" xfId="277" applyNumberFormat="1" applyFont="1" applyFill="1" applyProtection="1">
      <protection locked="0"/>
    </xf>
    <xf numFmtId="41" fontId="7" fillId="30" borderId="0" xfId="277" applyNumberFormat="1" applyFont="1" applyFill="1" applyProtection="1">
      <protection locked="0"/>
    </xf>
    <xf numFmtId="173" fontId="21" fillId="30" borderId="0" xfId="86" applyNumberFormat="1" applyFont="1" applyFill="1" applyAlignment="1" applyProtection="1">
      <alignment horizontal="right"/>
      <protection locked="0"/>
    </xf>
    <xf numFmtId="41" fontId="21" fillId="30" borderId="0" xfId="277" applyNumberFormat="1" applyFont="1" applyFill="1" applyProtection="1">
      <protection locked="0"/>
    </xf>
    <xf numFmtId="173" fontId="10" fillId="30" borderId="0" xfId="86" applyNumberFormat="1" applyFont="1" applyFill="1" applyProtection="1">
      <protection locked="0"/>
    </xf>
    <xf numFmtId="173" fontId="10" fillId="30" borderId="11" xfId="86" applyNumberFormat="1" applyFont="1" applyFill="1" applyBorder="1" applyAlignment="1" applyProtection="1">
      <protection locked="0"/>
    </xf>
    <xf numFmtId="10" fontId="21" fillId="30" borderId="0" xfId="277" applyNumberFormat="1" applyFont="1" applyFill="1" applyProtection="1">
      <protection locked="0"/>
    </xf>
    <xf numFmtId="41" fontId="21" fillId="30" borderId="0" xfId="277" applyNumberFormat="1" applyFont="1" applyFill="1" applyAlignment="1" applyProtection="1">
      <alignment vertical="center"/>
      <protection locked="0"/>
    </xf>
    <xf numFmtId="0" fontId="8" fillId="0" borderId="0" xfId="0" applyFont="1"/>
    <xf numFmtId="10" fontId="21" fillId="31" borderId="0" xfId="289" applyNumberFormat="1" applyFont="1" applyFill="1" applyAlignment="1" applyProtection="1">
      <protection locked="0"/>
    </xf>
    <xf numFmtId="173" fontId="80" fillId="32" borderId="0" xfId="278" applyNumberFormat="1" applyFont="1" applyFill="1"/>
    <xf numFmtId="192" fontId="5" fillId="0" borderId="0" xfId="280" applyNumberFormat="1"/>
    <xf numFmtId="172" fontId="5" fillId="0" borderId="0" xfId="277" applyProtection="1"/>
    <xf numFmtId="172" fontId="7" fillId="0" borderId="0" xfId="277" applyFont="1" applyProtection="1"/>
    <xf numFmtId="0" fontId="8" fillId="0" borderId="0" xfId="277" applyNumberFormat="1" applyFont="1" applyAlignment="1" applyProtection="1">
      <alignment horizontal="left"/>
    </xf>
    <xf numFmtId="14" fontId="8" fillId="0" borderId="0" xfId="277" applyNumberFormat="1" applyFont="1" applyProtection="1"/>
    <xf numFmtId="172" fontId="8" fillId="0" borderId="0" xfId="277" applyFont="1" applyProtection="1"/>
    <xf numFmtId="0" fontId="21" fillId="32" borderId="0" xfId="86" applyNumberFormat="1" applyFont="1" applyFill="1" applyAlignment="1" applyProtection="1"/>
    <xf numFmtId="0" fontId="7" fillId="0" borderId="0" xfId="277" applyNumberFormat="1" applyFont="1" applyProtection="1"/>
    <xf numFmtId="0" fontId="7" fillId="0" borderId="0" xfId="0" applyFont="1"/>
    <xf numFmtId="0" fontId="7" fillId="0" borderId="0" xfId="277" applyNumberFormat="1" applyFont="1" applyAlignment="1" applyProtection="1">
      <alignment horizontal="right"/>
    </xf>
    <xf numFmtId="3" fontId="7" fillId="0" borderId="0" xfId="277" applyNumberFormat="1" applyFont="1" applyProtection="1"/>
    <xf numFmtId="0" fontId="5" fillId="0" borderId="0" xfId="277" applyNumberFormat="1" applyAlignment="1" applyProtection="1">
      <alignment horizontal="center"/>
    </xf>
    <xf numFmtId="0" fontId="7" fillId="0" borderId="0" xfId="277" applyNumberFormat="1" applyFont="1" applyAlignment="1" applyProtection="1">
      <alignment horizontal="center"/>
    </xf>
    <xf numFmtId="49" fontId="7" fillId="0" borderId="0" xfId="277" applyNumberFormat="1" applyFont="1" applyAlignment="1" applyProtection="1">
      <alignment horizontal="center"/>
    </xf>
    <xf numFmtId="3" fontId="23" fillId="0" borderId="0" xfId="0" applyNumberFormat="1" applyFont="1" applyAlignment="1">
      <alignment horizontal="center"/>
    </xf>
    <xf numFmtId="49" fontId="7" fillId="0" borderId="0" xfId="277" applyNumberFormat="1" applyFont="1" applyProtection="1"/>
    <xf numFmtId="39" fontId="7" fillId="0" borderId="0" xfId="86" applyNumberFormat="1" applyFont="1" applyAlignment="1" applyProtection="1">
      <alignment horizontal="center"/>
    </xf>
    <xf numFmtId="0" fontId="5" fillId="0" borderId="6" xfId="277" applyNumberFormat="1" applyBorder="1" applyAlignment="1" applyProtection="1">
      <alignment horizontal="center"/>
    </xf>
    <xf numFmtId="0" fontId="7" fillId="0" borderId="6" xfId="277" applyNumberFormat="1" applyFont="1" applyBorder="1" applyAlignment="1" applyProtection="1">
      <alignment horizontal="center"/>
    </xf>
    <xf numFmtId="0" fontId="7" fillId="0" borderId="0" xfId="277" applyNumberFormat="1" applyFont="1" applyAlignment="1" applyProtection="1">
      <alignment horizontal="left"/>
    </xf>
    <xf numFmtId="170" fontId="7" fillId="0" borderId="0" xfId="277" applyNumberFormat="1" applyFont="1" applyProtection="1"/>
    <xf numFmtId="3" fontId="7" fillId="0" borderId="0" xfId="277" applyNumberFormat="1" applyFont="1" applyAlignment="1" applyProtection="1">
      <alignment horizontal="left"/>
    </xf>
    <xf numFmtId="0" fontId="7" fillId="0" borderId="6" xfId="277" applyNumberFormat="1" applyFont="1" applyBorder="1" applyAlignment="1" applyProtection="1">
      <alignment horizontal="centerContinuous"/>
    </xf>
    <xf numFmtId="41" fontId="7" fillId="0" borderId="0" xfId="277" applyNumberFormat="1" applyFont="1" applyProtection="1"/>
    <xf numFmtId="3" fontId="7" fillId="0" borderId="0" xfId="277" applyNumberFormat="1" applyFont="1" applyAlignment="1" applyProtection="1">
      <alignment horizontal="center"/>
    </xf>
    <xf numFmtId="165" fontId="7" fillId="0" borderId="0" xfId="277" applyNumberFormat="1" applyFont="1" applyAlignment="1" applyProtection="1">
      <alignment horizontal="right"/>
    </xf>
    <xf numFmtId="42" fontId="7" fillId="0" borderId="0" xfId="277" applyNumberFormat="1" applyFont="1" applyProtection="1"/>
    <xf numFmtId="0" fontId="7" fillId="0" borderId="0" xfId="0" applyFont="1" applyAlignment="1">
      <alignment wrapText="1"/>
    </xf>
    <xf numFmtId="174" fontId="7" fillId="0" borderId="14" xfId="277" applyNumberFormat="1" applyFont="1" applyBorder="1" applyProtection="1"/>
    <xf numFmtId="172" fontId="79" fillId="0" borderId="0" xfId="277" applyFont="1" applyAlignment="1" applyProtection="1">
      <alignment horizontal="center" wrapText="1"/>
    </xf>
    <xf numFmtId="43" fontId="7" fillId="0" borderId="0" xfId="86" applyFont="1" applyProtection="1"/>
    <xf numFmtId="171" fontId="7" fillId="0" borderId="0" xfId="277" applyNumberFormat="1" applyFont="1" applyProtection="1"/>
    <xf numFmtId="10" fontId="7" fillId="0" borderId="0" xfId="277" applyNumberFormat="1" applyFont="1" applyProtection="1"/>
    <xf numFmtId="10" fontId="7" fillId="0" borderId="0" xfId="289" applyNumberFormat="1" applyFont="1" applyFill="1" applyAlignment="1" applyProtection="1"/>
    <xf numFmtId="185" fontId="7" fillId="0" borderId="0" xfId="277" applyNumberFormat="1" applyFont="1" applyProtection="1"/>
    <xf numFmtId="41" fontId="7" fillId="0" borderId="0" xfId="277" applyNumberFormat="1" applyFont="1" applyAlignment="1" applyProtection="1">
      <alignment horizontal="center"/>
    </xf>
    <xf numFmtId="41" fontId="7" fillId="0" borderId="14" xfId="277" applyNumberFormat="1" applyFont="1" applyBorder="1" applyAlignment="1" applyProtection="1">
      <alignment horizontal="center"/>
    </xf>
    <xf numFmtId="41" fontId="7" fillId="0" borderId="0" xfId="277" applyNumberFormat="1" applyFont="1" applyAlignment="1" applyProtection="1">
      <alignment horizontal="right"/>
    </xf>
    <xf numFmtId="42" fontId="7" fillId="0" borderId="0" xfId="289" applyNumberFormat="1" applyFont="1" applyAlignment="1" applyProtection="1"/>
    <xf numFmtId="43" fontId="7" fillId="0" borderId="0" xfId="277" applyNumberFormat="1" applyFont="1" applyAlignment="1" applyProtection="1">
      <alignment horizontal="right"/>
    </xf>
    <xf numFmtId="43" fontId="7" fillId="0" borderId="0" xfId="86" applyFont="1" applyAlignment="1" applyProtection="1"/>
    <xf numFmtId="172" fontId="7" fillId="0" borderId="0" xfId="277" applyFont="1" applyAlignment="1" applyProtection="1">
      <alignment horizontal="right"/>
    </xf>
    <xf numFmtId="0" fontId="34" fillId="0" borderId="0" xfId="0" applyFont="1" applyAlignment="1">
      <alignment horizontal="center"/>
    </xf>
    <xf numFmtId="49" fontId="7" fillId="0" borderId="0" xfId="277" applyNumberFormat="1" applyFont="1" applyAlignment="1" applyProtection="1">
      <alignment horizontal="left"/>
    </xf>
    <xf numFmtId="0" fontId="5" fillId="0" borderId="0" xfId="277" applyNumberFormat="1" applyAlignment="1" applyProtection="1">
      <alignment horizontal="center" vertical="center"/>
    </xf>
    <xf numFmtId="3" fontId="8" fillId="0" borderId="0" xfId="277" applyNumberFormat="1" applyFont="1" applyAlignment="1" applyProtection="1">
      <alignment horizontal="center"/>
    </xf>
    <xf numFmtId="172" fontId="8" fillId="0" borderId="0" xfId="277" applyFont="1" applyAlignment="1" applyProtection="1">
      <alignment horizontal="center"/>
    </xf>
    <xf numFmtId="49" fontId="8" fillId="0" borderId="0" xfId="277" applyNumberFormat="1" applyFont="1" applyAlignment="1" applyProtection="1">
      <alignment horizontal="center"/>
    </xf>
    <xf numFmtId="0" fontId="12" fillId="0" borderId="0" xfId="277" applyNumberFormat="1" applyFont="1" applyAlignment="1" applyProtection="1">
      <alignment horizontal="center"/>
    </xf>
    <xf numFmtId="172" fontId="12" fillId="0" borderId="0" xfId="277" applyFont="1" applyAlignment="1" applyProtection="1">
      <alignment horizontal="center"/>
    </xf>
    <xf numFmtId="3" fontId="8" fillId="0" borderId="0" xfId="277" applyNumberFormat="1" applyFont="1" applyProtection="1"/>
    <xf numFmtId="3" fontId="16" fillId="0" borderId="0" xfId="277" applyNumberFormat="1" applyFont="1" applyAlignment="1" applyProtection="1">
      <alignment horizontal="center"/>
    </xf>
    <xf numFmtId="0" fontId="30" fillId="0" borderId="0" xfId="277" applyNumberFormat="1" applyFont="1" applyProtection="1"/>
    <xf numFmtId="0" fontId="7" fillId="0" borderId="0" xfId="277" applyNumberFormat="1" applyFont="1" applyAlignment="1" applyProtection="1">
      <alignment horizontal="center" vertical="center"/>
    </xf>
    <xf numFmtId="0" fontId="7" fillId="0" borderId="0" xfId="277" applyNumberFormat="1" applyFont="1" applyAlignment="1" applyProtection="1">
      <alignment vertical="center"/>
    </xf>
    <xf numFmtId="3" fontId="7" fillId="0" borderId="0" xfId="277" applyNumberFormat="1" applyFont="1" applyAlignment="1" applyProtection="1">
      <alignment vertical="center" wrapText="1"/>
    </xf>
    <xf numFmtId="3" fontId="7" fillId="0" borderId="0" xfId="277" applyNumberFormat="1" applyFont="1" applyAlignment="1" applyProtection="1">
      <alignment horizontal="center" vertical="center"/>
    </xf>
    <xf numFmtId="3" fontId="7" fillId="0" borderId="0" xfId="277" applyNumberFormat="1" applyFont="1" applyAlignment="1" applyProtection="1">
      <alignment vertical="center"/>
    </xf>
    <xf numFmtId="41" fontId="7" fillId="0" borderId="0" xfId="277" applyNumberFormat="1" applyFont="1" applyAlignment="1" applyProtection="1">
      <alignment vertical="center"/>
    </xf>
    <xf numFmtId="41" fontId="7" fillId="0" borderId="6" xfId="277" applyNumberFormat="1" applyFont="1" applyBorder="1" applyProtection="1"/>
    <xf numFmtId="172" fontId="8" fillId="0" borderId="0" xfId="277" applyFont="1" applyAlignment="1" applyProtection="1">
      <alignment horizontal="right"/>
    </xf>
    <xf numFmtId="177" fontId="8" fillId="0" borderId="0" xfId="277" applyNumberFormat="1" applyFont="1" applyAlignment="1" applyProtection="1">
      <alignment horizontal="right"/>
    </xf>
    <xf numFmtId="166" fontId="8" fillId="0" borderId="0" xfId="277" applyNumberFormat="1" applyFont="1" applyAlignment="1" applyProtection="1">
      <alignment horizontal="right"/>
    </xf>
    <xf numFmtId="183" fontId="7" fillId="0" borderId="0" xfId="277" applyNumberFormat="1" applyFont="1" applyProtection="1"/>
    <xf numFmtId="182" fontId="7" fillId="0" borderId="0" xfId="277" applyNumberFormat="1" applyFont="1" applyProtection="1"/>
    <xf numFmtId="165" fontId="7" fillId="0" borderId="0" xfId="277" applyNumberFormat="1" applyFont="1" applyProtection="1"/>
    <xf numFmtId="0" fontId="34" fillId="0" borderId="0" xfId="0" applyFont="1" applyAlignment="1">
      <alignment wrapText="1"/>
    </xf>
    <xf numFmtId="0" fontId="34" fillId="0" borderId="0" xfId="0" applyFont="1" applyAlignment="1">
      <alignment horizontal="center" wrapText="1"/>
    </xf>
    <xf numFmtId="164" fontId="7" fillId="0" borderId="0" xfId="277" applyNumberFormat="1" applyFont="1" applyAlignment="1" applyProtection="1">
      <alignment horizontal="center"/>
    </xf>
    <xf numFmtId="0" fontId="5" fillId="32" borderId="0" xfId="277" applyNumberFormat="1" applyFill="1" applyAlignment="1" applyProtection="1">
      <alignment horizontal="center"/>
    </xf>
    <xf numFmtId="3" fontId="8" fillId="0" borderId="0" xfId="277" applyNumberFormat="1" applyFont="1" applyAlignment="1" applyProtection="1">
      <alignment horizontal="right"/>
    </xf>
    <xf numFmtId="181" fontId="7" fillId="0" borderId="0" xfId="86" applyNumberFormat="1" applyFont="1" applyFill="1" applyAlignment="1" applyProtection="1"/>
    <xf numFmtId="164" fontId="7" fillId="0" borderId="0" xfId="277" applyNumberFormat="1" applyFont="1" applyAlignment="1" applyProtection="1">
      <alignment horizontal="left"/>
    </xf>
    <xf numFmtId="41" fontId="7" fillId="0" borderId="0" xfId="277" applyNumberFormat="1" applyFont="1" applyAlignment="1" applyProtection="1">
      <alignment horizontal="center" vertical="center"/>
    </xf>
    <xf numFmtId="41" fontId="7" fillId="0" borderId="16" xfId="277" applyNumberFormat="1" applyFont="1" applyBorder="1" applyProtection="1"/>
    <xf numFmtId="0" fontId="87" fillId="0" borderId="0" xfId="277" applyNumberFormat="1" applyFont="1" applyAlignment="1" applyProtection="1">
      <alignment horizontal="center"/>
    </xf>
    <xf numFmtId="3" fontId="7" fillId="0" borderId="0" xfId="277" applyNumberFormat="1" applyFont="1" applyAlignment="1" applyProtection="1">
      <alignment horizontal="right"/>
    </xf>
    <xf numFmtId="172" fontId="7" fillId="0" borderId="0" xfId="277" applyFont="1" applyAlignment="1" applyProtection="1">
      <alignment horizontal="center"/>
    </xf>
    <xf numFmtId="0" fontId="8" fillId="0" borderId="0" xfId="277" applyNumberFormat="1" applyFont="1" applyAlignment="1" applyProtection="1">
      <alignment horizontal="center"/>
    </xf>
    <xf numFmtId="3" fontId="12" fillId="0" borderId="0" xfId="277" applyNumberFormat="1" applyFont="1" applyAlignment="1" applyProtection="1">
      <alignment horizontal="center"/>
    </xf>
    <xf numFmtId="3" fontId="12" fillId="0" borderId="0" xfId="277" applyNumberFormat="1" applyFont="1" applyProtection="1"/>
    <xf numFmtId="41" fontId="152" fillId="32" borderId="0" xfId="277" applyNumberFormat="1" applyFont="1" applyFill="1" applyAlignment="1" applyProtection="1">
      <alignment wrapText="1"/>
    </xf>
    <xf numFmtId="3" fontId="95" fillId="0" borderId="0" xfId="277" applyNumberFormat="1" applyFont="1" applyAlignment="1" applyProtection="1">
      <alignment horizontal="right"/>
    </xf>
    <xf numFmtId="41" fontId="95" fillId="0" borderId="0" xfId="277" applyNumberFormat="1" applyFont="1" applyAlignment="1" applyProtection="1">
      <alignment horizontal="right"/>
    </xf>
    <xf numFmtId="3" fontId="7" fillId="0" borderId="0" xfId="277" applyNumberFormat="1" applyFont="1" applyAlignment="1" applyProtection="1">
      <alignment horizontal="left" wrapText="1"/>
    </xf>
    <xf numFmtId="0" fontId="14" fillId="0" borderId="0" xfId="0" applyFont="1" applyAlignment="1">
      <alignment horizontal="left" wrapText="1"/>
    </xf>
    <xf numFmtId="43" fontId="7" fillId="0" borderId="0" xfId="289" applyNumberFormat="1" applyFont="1" applyFill="1" applyAlignment="1" applyProtection="1"/>
    <xf numFmtId="166" fontId="7" fillId="0" borderId="0" xfId="277" applyNumberFormat="1" applyFont="1" applyProtection="1"/>
    <xf numFmtId="181" fontId="7" fillId="0" borderId="0" xfId="86" applyNumberFormat="1" applyFont="1" applyAlignment="1" applyProtection="1"/>
    <xf numFmtId="167" fontId="7" fillId="0" borderId="0" xfId="277" applyNumberFormat="1" applyFont="1" applyProtection="1"/>
    <xf numFmtId="172" fontId="25" fillId="0" borderId="0" xfId="277" applyFont="1" applyProtection="1"/>
    <xf numFmtId="168" fontId="7" fillId="0" borderId="0" xfId="277" applyNumberFormat="1" applyFont="1" applyProtection="1"/>
    <xf numFmtId="10" fontId="7" fillId="0" borderId="0" xfId="277" applyNumberFormat="1" applyFont="1" applyAlignment="1" applyProtection="1">
      <alignment horizontal="right"/>
    </xf>
    <xf numFmtId="10" fontId="34" fillId="0" borderId="0" xfId="289" applyNumberFormat="1" applyFont="1" applyProtection="1"/>
    <xf numFmtId="3" fontId="25" fillId="0" borderId="0" xfId="277" applyNumberFormat="1" applyFont="1" applyProtection="1"/>
    <xf numFmtId="166" fontId="7" fillId="0" borderId="0" xfId="277" applyNumberFormat="1" applyFont="1" applyAlignment="1" applyProtection="1">
      <alignment horizontal="center"/>
    </xf>
    <xf numFmtId="187" fontId="25" fillId="0" borderId="0" xfId="277" applyNumberFormat="1" applyFont="1" applyAlignment="1" applyProtection="1">
      <alignment horizontal="center"/>
    </xf>
    <xf numFmtId="188" fontId="7" fillId="0" borderId="0" xfId="277" applyNumberFormat="1" applyFont="1" applyProtection="1"/>
    <xf numFmtId="178" fontId="7" fillId="0" borderId="0" xfId="277" applyNumberFormat="1" applyFont="1" applyAlignment="1" applyProtection="1">
      <alignment horizontal="right"/>
    </xf>
    <xf numFmtId="185" fontId="7" fillId="0" borderId="0" xfId="86" applyNumberFormat="1" applyFont="1" applyAlignment="1" applyProtection="1">
      <alignment horizontal="center"/>
    </xf>
    <xf numFmtId="41" fontId="25" fillId="0" borderId="0" xfId="277" applyNumberFormat="1" applyFont="1" applyProtection="1"/>
    <xf numFmtId="43" fontId="25" fillId="0" borderId="0" xfId="86" applyFont="1" applyAlignment="1" applyProtection="1"/>
    <xf numFmtId="10" fontId="7" fillId="0" borderId="0" xfId="277" applyNumberFormat="1" applyFont="1" applyAlignment="1" applyProtection="1">
      <alignment horizontal="left"/>
    </xf>
    <xf numFmtId="168" fontId="7" fillId="0" borderId="0" xfId="277" applyNumberFormat="1" applyFont="1" applyAlignment="1" applyProtection="1">
      <alignment horizontal="left"/>
    </xf>
    <xf numFmtId="178" fontId="7" fillId="0" borderId="0" xfId="277" applyNumberFormat="1" applyFont="1" applyProtection="1"/>
    <xf numFmtId="164" fontId="7" fillId="0" borderId="0" xfId="277" applyNumberFormat="1" applyFont="1" applyAlignment="1" applyProtection="1">
      <alignment horizontal="left" vertical="center"/>
    </xf>
    <xf numFmtId="179" fontId="7" fillId="0" borderId="0" xfId="277" applyNumberFormat="1" applyFont="1" applyProtection="1"/>
    <xf numFmtId="173" fontId="7" fillId="0" borderId="14" xfId="86" applyNumberFormat="1" applyFont="1" applyBorder="1" applyAlignment="1" applyProtection="1"/>
    <xf numFmtId="0" fontId="8" fillId="0" borderId="0" xfId="277" applyNumberFormat="1" applyFont="1" applyProtection="1"/>
    <xf numFmtId="0" fontId="7" fillId="0" borderId="0" xfId="0" applyFont="1" applyAlignment="1">
      <alignment horizontal="left"/>
    </xf>
    <xf numFmtId="165" fontId="8" fillId="0" borderId="0" xfId="277" applyNumberFormat="1" applyFont="1" applyAlignment="1" applyProtection="1">
      <alignment horizontal="right"/>
    </xf>
    <xf numFmtId="3" fontId="7" fillId="0" borderId="0" xfId="277" applyNumberFormat="1" applyFont="1" applyAlignment="1" applyProtection="1">
      <alignment horizontal="center" wrapText="1"/>
    </xf>
    <xf numFmtId="173" fontId="7" fillId="0" borderId="0" xfId="86" applyNumberFormat="1" applyFont="1" applyFill="1" applyAlignment="1" applyProtection="1"/>
    <xf numFmtId="4" fontId="7" fillId="0" borderId="0" xfId="277" applyNumberFormat="1" applyFont="1" applyProtection="1"/>
    <xf numFmtId="165" fontId="8" fillId="0" borderId="0" xfId="277" applyNumberFormat="1" applyFont="1" applyProtection="1"/>
    <xf numFmtId="0" fontId="12" fillId="0" borderId="0" xfId="277" applyNumberFormat="1" applyFont="1" applyProtection="1"/>
    <xf numFmtId="3" fontId="7" fillId="0" borderId="6" xfId="277" applyNumberFormat="1" applyFont="1" applyBorder="1" applyAlignment="1" applyProtection="1">
      <alignment horizontal="center"/>
    </xf>
    <xf numFmtId="41" fontId="8" fillId="0" borderId="0" xfId="277" applyNumberFormat="1" applyFont="1" applyProtection="1"/>
    <xf numFmtId="0" fontId="16" fillId="0" borderId="0" xfId="277" applyNumberFormat="1" applyFont="1" applyAlignment="1" applyProtection="1">
      <alignment horizontal="left"/>
    </xf>
    <xf numFmtId="3" fontId="7" fillId="32" borderId="0" xfId="277" applyNumberFormat="1" applyFont="1" applyFill="1" applyProtection="1"/>
    <xf numFmtId="181" fontId="7" fillId="0" borderId="6" xfId="86" applyNumberFormat="1" applyFont="1" applyFill="1" applyBorder="1" applyAlignment="1" applyProtection="1">
      <alignment horizontal="center"/>
    </xf>
    <xf numFmtId="169" fontId="7" fillId="0" borderId="0" xfId="277" applyNumberFormat="1" applyFont="1" applyProtection="1"/>
    <xf numFmtId="10" fontId="7" fillId="0" borderId="6" xfId="277" applyNumberFormat="1" applyFont="1" applyBorder="1" applyProtection="1"/>
    <xf numFmtId="169" fontId="7" fillId="0" borderId="6" xfId="277" applyNumberFormat="1" applyFont="1" applyBorder="1" applyProtection="1"/>
    <xf numFmtId="181" fontId="14" fillId="0" borderId="0" xfId="86" applyNumberFormat="1" applyFont="1" applyFill="1" applyProtection="1"/>
    <xf numFmtId="0" fontId="5" fillId="31" borderId="0" xfId="277" applyNumberFormat="1" applyFill="1" applyAlignment="1" applyProtection="1">
      <alignment horizontal="center"/>
    </xf>
    <xf numFmtId="0" fontId="7" fillId="31" borderId="0" xfId="277" applyNumberFormat="1" applyFont="1" applyFill="1" applyAlignment="1" applyProtection="1">
      <alignment horizontal="center"/>
    </xf>
    <xf numFmtId="0" fontId="12" fillId="31" borderId="0" xfId="277" applyNumberFormat="1" applyFont="1" applyFill="1" applyProtection="1"/>
    <xf numFmtId="0" fontId="7" fillId="31" borderId="0" xfId="277" applyNumberFormat="1" applyFont="1" applyFill="1" applyAlignment="1" applyProtection="1">
      <alignment horizontal="left"/>
    </xf>
    <xf numFmtId="3" fontId="7" fillId="31" borderId="0" xfId="277" applyNumberFormat="1" applyFont="1" applyFill="1" applyProtection="1"/>
    <xf numFmtId="172" fontId="7" fillId="31" borderId="0" xfId="277" applyFont="1" applyFill="1" applyProtection="1"/>
    <xf numFmtId="3" fontId="8" fillId="31" borderId="0" xfId="277" applyNumberFormat="1" applyFont="1" applyFill="1" applyProtection="1"/>
    <xf numFmtId="166" fontId="8" fillId="31" borderId="0" xfId="277" applyNumberFormat="1" applyFont="1" applyFill="1" applyProtection="1"/>
    <xf numFmtId="0" fontId="7" fillId="31" borderId="0" xfId="277" applyNumberFormat="1" applyFont="1" applyFill="1" applyProtection="1"/>
    <xf numFmtId="3" fontId="7" fillId="31" borderId="6" xfId="277" applyNumberFormat="1" applyFont="1" applyFill="1" applyBorder="1" applyAlignment="1" applyProtection="1">
      <alignment horizontal="center"/>
    </xf>
    <xf numFmtId="41" fontId="7" fillId="31" borderId="0" xfId="277" applyNumberFormat="1" applyFont="1" applyFill="1" applyProtection="1"/>
    <xf numFmtId="0" fontId="16" fillId="31" borderId="0" xfId="277" applyNumberFormat="1" applyFont="1" applyFill="1" applyAlignment="1" applyProtection="1">
      <alignment horizontal="left"/>
    </xf>
    <xf numFmtId="0" fontId="0" fillId="31" borderId="0" xfId="0" applyFill="1"/>
    <xf numFmtId="0" fontId="34" fillId="31" borderId="0" xfId="0" applyFont="1" applyFill="1"/>
    <xf numFmtId="41" fontId="21" fillId="31" borderId="0" xfId="277" applyNumberFormat="1" applyFont="1" applyFill="1" applyProtection="1"/>
    <xf numFmtId="10" fontId="7" fillId="31" borderId="0" xfId="289" applyNumberFormat="1" applyFont="1" applyFill="1" applyAlignment="1" applyProtection="1"/>
    <xf numFmtId="41" fontId="21" fillId="31" borderId="6" xfId="277" applyNumberFormat="1" applyFont="1" applyFill="1" applyBorder="1" applyProtection="1"/>
    <xf numFmtId="3" fontId="25" fillId="31" borderId="0" xfId="277" applyNumberFormat="1" applyFont="1" applyFill="1" applyProtection="1"/>
    <xf numFmtId="0" fontId="7" fillId="31" borderId="6" xfId="277" applyNumberFormat="1" applyFont="1" applyFill="1" applyBorder="1" applyAlignment="1" applyProtection="1">
      <alignment horizontal="center"/>
    </xf>
    <xf numFmtId="181" fontId="7" fillId="31" borderId="6" xfId="86" applyNumberFormat="1" applyFont="1" applyFill="1" applyBorder="1" applyAlignment="1" applyProtection="1">
      <alignment horizontal="center"/>
    </xf>
    <xf numFmtId="10" fontId="7" fillId="31" borderId="0" xfId="277" applyNumberFormat="1" applyFont="1" applyFill="1" applyProtection="1"/>
    <xf numFmtId="169" fontId="25" fillId="31" borderId="0" xfId="277" applyNumberFormat="1" applyFont="1" applyFill="1" applyProtection="1"/>
    <xf numFmtId="169" fontId="7" fillId="31" borderId="17" xfId="277" applyNumberFormat="1" applyFont="1" applyFill="1" applyBorder="1" applyProtection="1"/>
    <xf numFmtId="3" fontId="7" fillId="0" borderId="0" xfId="277" quotePrefix="1" applyNumberFormat="1" applyFont="1" applyProtection="1"/>
    <xf numFmtId="169" fontId="7" fillId="31" borderId="0" xfId="277" applyNumberFormat="1" applyFont="1" applyFill="1" applyProtection="1"/>
    <xf numFmtId="41" fontId="7" fillId="31" borderId="6" xfId="277" applyNumberFormat="1" applyFont="1" applyFill="1" applyBorder="1" applyProtection="1"/>
    <xf numFmtId="169" fontId="7" fillId="31" borderId="6" xfId="277" applyNumberFormat="1" applyFont="1" applyFill="1" applyBorder="1" applyProtection="1"/>
    <xf numFmtId="181" fontId="24" fillId="31" borderId="0" xfId="86" applyNumberFormat="1" applyFont="1" applyFill="1" applyProtection="1"/>
    <xf numFmtId="3" fontId="8" fillId="31" borderId="0" xfId="277" applyNumberFormat="1" applyFont="1" applyFill="1" applyAlignment="1" applyProtection="1">
      <alignment horizontal="right"/>
    </xf>
    <xf numFmtId="169" fontId="8" fillId="31" borderId="0" xfId="277" applyNumberFormat="1" applyFont="1" applyFill="1" applyProtection="1"/>
    <xf numFmtId="3" fontId="8" fillId="0" borderId="0" xfId="277" quotePrefix="1" applyNumberFormat="1" applyFont="1" applyProtection="1"/>
    <xf numFmtId="172" fontId="5" fillId="0" borderId="0" xfId="277" applyAlignment="1" applyProtection="1">
      <alignment horizontal="center"/>
    </xf>
    <xf numFmtId="0" fontId="24" fillId="0" borderId="0" xfId="0" applyFont="1"/>
    <xf numFmtId="0" fontId="28" fillId="0" borderId="0" xfId="277" applyNumberFormat="1" applyFont="1" applyProtection="1"/>
    <xf numFmtId="0" fontId="109" fillId="0" borderId="0" xfId="277" applyNumberFormat="1" applyFont="1" applyProtection="1"/>
    <xf numFmtId="172" fontId="28" fillId="0" borderId="0" xfId="277" applyFont="1" applyProtection="1"/>
    <xf numFmtId="0" fontId="28" fillId="0" borderId="0" xfId="0" applyFont="1" applyAlignment="1">
      <alignment vertical="top" wrapText="1"/>
    </xf>
    <xf numFmtId="172" fontId="28" fillId="0" borderId="0" xfId="277" applyFont="1" applyAlignment="1" applyProtection="1">
      <alignment wrapText="1"/>
    </xf>
    <xf numFmtId="172" fontId="109" fillId="0" borderId="0" xfId="277" applyFont="1" applyProtection="1"/>
    <xf numFmtId="0" fontId="5" fillId="0" borderId="0" xfId="277" applyNumberFormat="1" applyProtection="1"/>
    <xf numFmtId="172" fontId="5" fillId="0" borderId="0" xfId="277" applyAlignment="1" applyProtection="1">
      <alignment horizontal="center" wrapText="1"/>
    </xf>
    <xf numFmtId="0" fontId="7" fillId="32" borderId="0" xfId="277" applyNumberFormat="1" applyFont="1" applyFill="1" applyAlignment="1" applyProtection="1">
      <alignment vertical="top" wrapText="1"/>
    </xf>
    <xf numFmtId="0" fontId="14" fillId="32" borderId="0" xfId="0" applyFont="1" applyFill="1"/>
    <xf numFmtId="0" fontId="95" fillId="0" borderId="0" xfId="277" applyNumberFormat="1" applyFont="1" applyAlignment="1" applyProtection="1">
      <alignment horizontal="center"/>
    </xf>
    <xf numFmtId="172" fontId="25" fillId="0" borderId="0" xfId="277" applyFont="1" applyAlignment="1" applyProtection="1">
      <alignment wrapText="1"/>
    </xf>
    <xf numFmtId="173" fontId="21" fillId="0" borderId="0" xfId="86" applyNumberFormat="1" applyFont="1" applyFill="1" applyAlignment="1" applyProtection="1">
      <alignment horizontal="right"/>
    </xf>
    <xf numFmtId="10" fontId="21" fillId="30" borderId="0" xfId="289" applyNumberFormat="1" applyFont="1" applyFill="1" applyAlignment="1" applyProtection="1">
      <protection locked="0"/>
    </xf>
    <xf numFmtId="0" fontId="21" fillId="30" borderId="0" xfId="86" applyNumberFormat="1" applyFont="1" applyFill="1" applyAlignment="1" applyProtection="1">
      <protection locked="0"/>
    </xf>
    <xf numFmtId="0" fontId="14" fillId="0" borderId="0" xfId="220"/>
    <xf numFmtId="0" fontId="14" fillId="0" borderId="0" xfId="220" applyAlignment="1">
      <alignment horizontal="center"/>
    </xf>
    <xf numFmtId="0" fontId="19" fillId="0" borderId="0" xfId="270" applyFont="1" applyAlignment="1">
      <alignment horizontal="center"/>
    </xf>
    <xf numFmtId="0" fontId="14" fillId="0" borderId="0" xfId="220" applyAlignment="1">
      <alignment horizontal="center" wrapText="1"/>
    </xf>
    <xf numFmtId="0" fontId="11" fillId="0" borderId="0" xfId="220" applyFont="1" applyAlignment="1">
      <alignment horizontal="left"/>
    </xf>
    <xf numFmtId="3" fontId="14" fillId="0" borderId="0" xfId="220" applyNumberFormat="1"/>
    <xf numFmtId="173" fontId="0" fillId="0" borderId="0" xfId="86" applyNumberFormat="1" applyFont="1" applyFill="1" applyProtection="1"/>
    <xf numFmtId="173" fontId="14" fillId="0" borderId="0" xfId="89" applyNumberFormat="1" applyFont="1" applyFill="1" applyBorder="1" applyAlignment="1" applyProtection="1">
      <alignment horizontal="right"/>
    </xf>
    <xf numFmtId="0" fontId="14" fillId="0" borderId="0" xfId="220" applyAlignment="1">
      <alignment horizontal="left"/>
    </xf>
    <xf numFmtId="0" fontId="9" fillId="0" borderId="0" xfId="220" applyFont="1" applyAlignment="1">
      <alignment horizontal="left"/>
    </xf>
    <xf numFmtId="173" fontId="10" fillId="30" borderId="0" xfId="89" applyNumberFormat="1" applyFont="1" applyFill="1" applyBorder="1" applyAlignment="1" applyProtection="1">
      <alignment horizontal="right"/>
      <protection locked="0"/>
    </xf>
    <xf numFmtId="0" fontId="11" fillId="0" borderId="0" xfId="220" applyFont="1" applyAlignment="1">
      <alignment horizontal="center"/>
    </xf>
    <xf numFmtId="0" fontId="11" fillId="0" borderId="0" xfId="220" applyFont="1"/>
    <xf numFmtId="0" fontId="15" fillId="0" borderId="0" xfId="0" applyFont="1"/>
    <xf numFmtId="3" fontId="15" fillId="0" borderId="0" xfId="220" applyNumberFormat="1" applyFont="1" applyAlignment="1">
      <alignment horizontal="center"/>
    </xf>
    <xf numFmtId="0" fontId="19" fillId="0" borderId="0" xfId="220" applyFont="1" applyAlignment="1">
      <alignment horizontal="center"/>
    </xf>
    <xf numFmtId="0" fontId="15" fillId="0" borderId="0" xfId="220" applyFont="1" applyAlignment="1">
      <alignment horizontal="left"/>
    </xf>
    <xf numFmtId="173" fontId="15" fillId="0" borderId="0" xfId="89" applyNumberFormat="1" applyFont="1" applyFill="1" applyBorder="1" applyAlignment="1" applyProtection="1">
      <alignment horizontal="right"/>
    </xf>
    <xf numFmtId="164" fontId="14" fillId="0" borderId="0" xfId="291" applyNumberFormat="1" applyFont="1" applyFill="1" applyBorder="1" applyAlignment="1" applyProtection="1"/>
    <xf numFmtId="173" fontId="14" fillId="0" borderId="0" xfId="89" applyNumberFormat="1" applyFont="1" applyFill="1" applyBorder="1" applyAlignment="1" applyProtection="1">
      <alignment horizontal="left"/>
    </xf>
    <xf numFmtId="0" fontId="10" fillId="0" borderId="0" xfId="220" applyFont="1"/>
    <xf numFmtId="0" fontId="89" fillId="0" borderId="0" xfId="0" applyFont="1" applyAlignment="1">
      <alignment horizontal="center"/>
    </xf>
    <xf numFmtId="0" fontId="14" fillId="25" borderId="0" xfId="220" applyFill="1" applyAlignment="1">
      <alignment horizontal="center"/>
    </xf>
    <xf numFmtId="0" fontId="11" fillId="25" borderId="0" xfId="220" applyFont="1" applyFill="1" applyAlignment="1">
      <alignment horizontal="left"/>
    </xf>
    <xf numFmtId="0" fontId="10" fillId="25" borderId="0" xfId="220" applyFont="1" applyFill="1"/>
    <xf numFmtId="0" fontId="14" fillId="25" borderId="0" xfId="220" applyFill="1" applyAlignment="1">
      <alignment horizontal="left"/>
    </xf>
    <xf numFmtId="0" fontId="14" fillId="25" borderId="0" xfId="220" applyFill="1"/>
    <xf numFmtId="173" fontId="14" fillId="25" borderId="0" xfId="89" applyNumberFormat="1" applyFont="1" applyFill="1" applyBorder="1" applyAlignment="1" applyProtection="1">
      <alignment horizontal="right"/>
    </xf>
    <xf numFmtId="0" fontId="0" fillId="25" borderId="0" xfId="0" applyFill="1"/>
    <xf numFmtId="164" fontId="14" fillId="25" borderId="0" xfId="291" applyNumberFormat="1" applyFont="1" applyFill="1" applyBorder="1" applyAlignment="1" applyProtection="1"/>
    <xf numFmtId="173" fontId="14" fillId="25" borderId="0" xfId="89" applyNumberFormat="1" applyFont="1" applyFill="1" applyBorder="1" applyAlignment="1" applyProtection="1">
      <alignment horizontal="left"/>
    </xf>
    <xf numFmtId="0" fontId="83" fillId="0" borderId="0" xfId="220" applyFont="1" applyAlignment="1">
      <alignment horizontal="left"/>
    </xf>
    <xf numFmtId="9" fontId="11" fillId="0" borderId="0" xfId="270" quotePrefix="1" applyNumberFormat="1" applyFont="1" applyAlignment="1">
      <alignment horizontal="center"/>
    </xf>
    <xf numFmtId="0" fontId="71" fillId="0" borderId="0" xfId="270" applyFont="1" applyAlignment="1">
      <alignment horizontal="center"/>
    </xf>
    <xf numFmtId="0" fontId="88" fillId="0" borderId="0" xfId="270" applyFont="1" applyAlignment="1">
      <alignment horizontal="center"/>
    </xf>
    <xf numFmtId="38" fontId="14" fillId="0" borderId="0" xfId="220" applyNumberFormat="1" applyAlignment="1">
      <alignment horizontal="right"/>
    </xf>
    <xf numFmtId="37" fontId="14" fillId="0" borderId="0" xfId="220" applyNumberFormat="1" applyAlignment="1">
      <alignment horizontal="right"/>
    </xf>
    <xf numFmtId="0" fontId="14" fillId="0" borderId="0" xfId="220" applyAlignment="1">
      <alignment horizontal="right"/>
    </xf>
    <xf numFmtId="38" fontId="14" fillId="0" borderId="0" xfId="0" applyNumberFormat="1" applyFont="1" applyAlignment="1">
      <alignment horizontal="right"/>
    </xf>
    <xf numFmtId="38" fontId="10" fillId="0" borderId="0" xfId="220" applyNumberFormat="1" applyFont="1"/>
    <xf numFmtId="37" fontId="10" fillId="0" borderId="0" xfId="220" applyNumberFormat="1" applyFont="1"/>
    <xf numFmtId="173" fontId="10" fillId="0" borderId="14" xfId="86" applyNumberFormat="1" applyFont="1" applyFill="1" applyBorder="1" applyAlignment="1" applyProtection="1"/>
    <xf numFmtId="0" fontId="14" fillId="0" borderId="14" xfId="220" applyBorder="1" applyAlignment="1">
      <alignment horizontal="left"/>
    </xf>
    <xf numFmtId="173" fontId="14" fillId="0" borderId="14" xfId="89" applyNumberFormat="1" applyFont="1" applyFill="1" applyBorder="1" applyAlignment="1" applyProtection="1">
      <alignment horizontal="right"/>
    </xf>
    <xf numFmtId="0" fontId="82" fillId="0" borderId="0" xfId="270" applyFont="1"/>
    <xf numFmtId="173" fontId="4" fillId="0" borderId="0" xfId="86" applyNumberFormat="1" applyProtection="1"/>
    <xf numFmtId="173" fontId="4" fillId="0" borderId="0" xfId="86" applyNumberFormat="1" applyFill="1" applyProtection="1"/>
    <xf numFmtId="173" fontId="14" fillId="0" borderId="0" xfId="86" applyNumberFormat="1" applyFont="1" applyFill="1" applyProtection="1"/>
    <xf numFmtId="0" fontId="11" fillId="0" borderId="0" xfId="270" applyFont="1"/>
    <xf numFmtId="38" fontId="14" fillId="0" borderId="17" xfId="0" applyNumberFormat="1" applyFont="1" applyBorder="1"/>
    <xf numFmtId="37" fontId="14" fillId="0" borderId="17" xfId="0" applyNumberFormat="1" applyFont="1" applyBorder="1"/>
    <xf numFmtId="0" fontId="153" fillId="0" borderId="0" xfId="220" applyFont="1"/>
    <xf numFmtId="0" fontId="34" fillId="0" borderId="0" xfId="270" applyFont="1" applyAlignment="1">
      <alignment horizontal="left"/>
    </xf>
    <xf numFmtId="0" fontId="98" fillId="0" borderId="0" xfId="270" applyFont="1" applyAlignment="1">
      <alignment horizontal="center"/>
    </xf>
    <xf numFmtId="0" fontId="99" fillId="0" borderId="0" xfId="270" applyFont="1"/>
    <xf numFmtId="37" fontId="10" fillId="30" borderId="0" xfId="0" applyNumberFormat="1" applyFont="1" applyFill="1" applyProtection="1">
      <protection locked="0"/>
    </xf>
    <xf numFmtId="0" fontId="4" fillId="0" borderId="0" xfId="0" applyFont="1" applyAlignment="1">
      <alignment horizontal="center"/>
    </xf>
    <xf numFmtId="0" fontId="123" fillId="0" borderId="0" xfId="0" applyFont="1" applyAlignment="1">
      <alignment horizontal="center"/>
    </xf>
    <xf numFmtId="0" fontId="123" fillId="0" borderId="0" xfId="0" applyFont="1" applyAlignment="1">
      <alignment horizontal="left"/>
    </xf>
    <xf numFmtId="0" fontId="123" fillId="0" borderId="0" xfId="0" applyFont="1"/>
    <xf numFmtId="0" fontId="0" fillId="0" borderId="11" xfId="0" applyBorder="1"/>
    <xf numFmtId="43" fontId="0" fillId="0" borderId="0" xfId="0" applyNumberFormat="1"/>
    <xf numFmtId="174" fontId="0" fillId="0" borderId="0" xfId="86" applyNumberFormat="1" applyFont="1" applyFill="1" applyProtection="1"/>
    <xf numFmtId="43" fontId="0" fillId="0" borderId="13" xfId="0" applyNumberFormat="1" applyBorder="1"/>
    <xf numFmtId="172" fontId="111" fillId="0" borderId="0" xfId="277" applyFont="1" applyProtection="1"/>
    <xf numFmtId="0" fontId="122" fillId="0" borderId="0" xfId="0" applyFont="1" applyAlignment="1">
      <alignment horizontal="center"/>
    </xf>
    <xf numFmtId="174" fontId="14" fillId="0" borderId="0" xfId="86" applyNumberFormat="1" applyFont="1" applyFill="1" applyProtection="1"/>
    <xf numFmtId="174" fontId="0" fillId="0" borderId="0" xfId="0" applyNumberFormat="1"/>
    <xf numFmtId="43" fontId="10" fillId="30" borderId="0" xfId="0" applyNumberFormat="1" applyFont="1" applyFill="1" applyProtection="1">
      <protection locked="0"/>
    </xf>
    <xf numFmtId="0" fontId="5" fillId="0" borderId="0" xfId="0" applyFont="1"/>
    <xf numFmtId="0" fontId="5" fillId="0" borderId="0" xfId="282" applyFont="1"/>
    <xf numFmtId="0" fontId="5" fillId="0" borderId="0" xfId="282" applyFont="1" applyAlignment="1">
      <alignment horizontal="right"/>
    </xf>
    <xf numFmtId="0" fontId="12" fillId="0" borderId="0" xfId="282" applyFont="1" applyAlignment="1">
      <alignment horizontal="center"/>
    </xf>
    <xf numFmtId="0" fontId="7" fillId="0" borderId="0" xfId="282" applyFont="1"/>
    <xf numFmtId="0" fontId="84" fillId="0" borderId="0" xfId="282" applyFont="1"/>
    <xf numFmtId="0" fontId="28" fillId="0" borderId="0" xfId="0" applyFont="1" applyAlignment="1">
      <alignment horizontal="center"/>
    </xf>
    <xf numFmtId="0" fontId="5" fillId="0" borderId="0" xfId="0" applyFont="1" applyAlignment="1">
      <alignment horizontal="right"/>
    </xf>
    <xf numFmtId="0" fontId="8" fillId="0" borderId="0" xfId="282" applyFont="1"/>
    <xf numFmtId="0" fontId="28" fillId="0" borderId="0" xfId="282" applyFont="1" applyAlignment="1">
      <alignment horizontal="center"/>
    </xf>
    <xf numFmtId="0" fontId="11" fillId="0" borderId="0" xfId="282" applyFont="1" applyAlignment="1">
      <alignment horizontal="center"/>
    </xf>
    <xf numFmtId="0" fontId="11" fillId="0" borderId="0" xfId="282" applyFont="1"/>
    <xf numFmtId="0" fontId="103" fillId="0" borderId="0" xfId="0" applyFont="1"/>
    <xf numFmtId="0" fontId="103" fillId="0" borderId="0" xfId="282" applyFont="1"/>
    <xf numFmtId="0" fontId="14" fillId="0" borderId="0" xfId="282" applyFont="1"/>
    <xf numFmtId="173" fontId="14" fillId="0" borderId="0" xfId="282" applyNumberFormat="1" applyFont="1"/>
    <xf numFmtId="172" fontId="14" fillId="0" borderId="0" xfId="282" applyNumberFormat="1" applyFont="1" applyAlignment="1">
      <alignment horizontal="center"/>
    </xf>
    <xf numFmtId="43" fontId="14" fillId="0" borderId="0" xfId="118" applyFont="1" applyFill="1" applyProtection="1"/>
    <xf numFmtId="0" fontId="96" fillId="0" borderId="0" xfId="282" applyFont="1"/>
    <xf numFmtId="184" fontId="14" fillId="0" borderId="0" xfId="0" applyNumberFormat="1" applyFont="1"/>
    <xf numFmtId="173" fontId="14" fillId="0" borderId="13" xfId="0" applyNumberFormat="1" applyFont="1" applyBorder="1"/>
    <xf numFmtId="173" fontId="14" fillId="0" borderId="13" xfId="282" applyNumberFormat="1" applyFont="1" applyBorder="1"/>
    <xf numFmtId="0" fontId="28" fillId="0" borderId="0" xfId="282" applyFont="1"/>
    <xf numFmtId="43" fontId="7" fillId="0" borderId="0" xfId="118" applyFont="1" applyFill="1" applyProtection="1"/>
    <xf numFmtId="173" fontId="7" fillId="0" borderId="0" xfId="282" applyNumberFormat="1" applyFont="1"/>
    <xf numFmtId="0" fontId="8" fillId="0" borderId="0" xfId="0" applyFont="1" applyAlignment="1">
      <alignment horizontal="center"/>
    </xf>
    <xf numFmtId="173" fontId="10" fillId="30" borderId="0" xfId="118" applyNumberFormat="1" applyFont="1" applyFill="1" applyProtection="1">
      <protection locked="0"/>
    </xf>
    <xf numFmtId="41" fontId="21" fillId="30" borderId="0" xfId="270" applyNumberFormat="1" applyFont="1" applyFill="1" applyProtection="1">
      <protection locked="0"/>
    </xf>
    <xf numFmtId="3" fontId="21" fillId="30" borderId="0" xfId="0" applyNumberFormat="1" applyFont="1" applyFill="1" applyProtection="1">
      <protection locked="0"/>
    </xf>
    <xf numFmtId="41" fontId="29" fillId="30" borderId="0" xfId="270" applyNumberFormat="1" applyFont="1" applyFill="1" applyProtection="1">
      <protection locked="0"/>
    </xf>
    <xf numFmtId="0" fontId="20" fillId="0" borderId="0" xfId="0" applyFont="1"/>
    <xf numFmtId="0" fontId="20" fillId="0" borderId="0" xfId="0" applyFont="1" applyAlignment="1">
      <alignment horizontal="right"/>
    </xf>
    <xf numFmtId="0" fontId="7" fillId="0" borderId="0" xfId="0" applyFont="1" applyAlignment="1">
      <alignment horizontal="center" wrapText="1"/>
    </xf>
    <xf numFmtId="37" fontId="7" fillId="0" borderId="0" xfId="0" applyNumberFormat="1" applyFont="1"/>
    <xf numFmtId="37" fontId="7" fillId="0" borderId="0" xfId="0" applyNumberFormat="1" applyFont="1" applyAlignment="1">
      <alignment horizontal="center"/>
    </xf>
    <xf numFmtId="0" fontId="17" fillId="0" borderId="0" xfId="0" applyFont="1"/>
    <xf numFmtId="10" fontId="7" fillId="0" borderId="0" xfId="0" applyNumberFormat="1" applyFont="1"/>
    <xf numFmtId="175" fontId="7" fillId="0" borderId="0" xfId="0" applyNumberFormat="1" applyFont="1"/>
    <xf numFmtId="10" fontId="7" fillId="0" borderId="14" xfId="0" applyNumberFormat="1" applyFont="1" applyBorder="1"/>
    <xf numFmtId="10" fontId="21" fillId="30" borderId="0" xfId="0" applyNumberFormat="1" applyFont="1" applyFill="1" applyProtection="1">
      <protection locked="0"/>
    </xf>
    <xf numFmtId="10" fontId="21" fillId="30" borderId="11" xfId="0" applyNumberFormat="1" applyFont="1" applyFill="1" applyBorder="1" applyProtection="1">
      <protection locked="0"/>
    </xf>
    <xf numFmtId="0" fontId="7" fillId="30" borderId="0" xfId="0" applyFont="1" applyFill="1" applyProtection="1">
      <protection locked="0"/>
    </xf>
    <xf numFmtId="0" fontId="7" fillId="0" borderId="0" xfId="278" applyFont="1"/>
    <xf numFmtId="0" fontId="11" fillId="0" borderId="0" xfId="278" applyFont="1"/>
    <xf numFmtId="0" fontId="76" fillId="0" borderId="11" xfId="278" applyFont="1" applyBorder="1" applyAlignment="1">
      <alignment horizontal="center"/>
    </xf>
    <xf numFmtId="0" fontId="11" fillId="0" borderId="0" xfId="278" applyFont="1" applyAlignment="1">
      <alignment horizontal="center"/>
    </xf>
    <xf numFmtId="184" fontId="74" fillId="0" borderId="0" xfId="278" applyNumberFormat="1" applyFont="1"/>
    <xf numFmtId="184" fontId="20" fillId="0" borderId="0" xfId="278" applyNumberFormat="1" applyFont="1"/>
    <xf numFmtId="173" fontId="7" fillId="0" borderId="0" xfId="278" applyNumberFormat="1" applyFont="1"/>
    <xf numFmtId="173" fontId="78" fillId="0" borderId="0" xfId="278" applyNumberFormat="1" applyFont="1"/>
    <xf numFmtId="184" fontId="7" fillId="0" borderId="0" xfId="278" applyNumberFormat="1" applyFont="1"/>
    <xf numFmtId="173" fontId="78" fillId="0" borderId="0" xfId="86" applyNumberFormat="1" applyFont="1" applyProtection="1"/>
    <xf numFmtId="0" fontId="118" fillId="0" borderId="0" xfId="277" applyNumberFormat="1" applyFont="1" applyProtection="1"/>
    <xf numFmtId="173" fontId="119" fillId="0" borderId="0" xfId="278" applyNumberFormat="1" applyFont="1"/>
    <xf numFmtId="184" fontId="120" fillId="0" borderId="0" xfId="278" applyNumberFormat="1" applyFont="1"/>
    <xf numFmtId="173" fontId="119" fillId="0" borderId="0" xfId="86" applyNumberFormat="1" applyFont="1" applyProtection="1"/>
    <xf numFmtId="173" fontId="101" fillId="0" borderId="0" xfId="278" applyNumberFormat="1" applyFont="1"/>
    <xf numFmtId="43" fontId="73" fillId="0" borderId="0" xfId="86" applyFont="1" applyProtection="1"/>
    <xf numFmtId="43" fontId="78" fillId="0" borderId="0" xfId="86" applyFont="1" applyProtection="1"/>
    <xf numFmtId="173" fontId="7" fillId="0" borderId="0" xfId="86" applyNumberFormat="1" applyFont="1" applyProtection="1"/>
    <xf numFmtId="173" fontId="73" fillId="0" borderId="14" xfId="86" applyNumberFormat="1" applyFont="1" applyBorder="1" applyProtection="1"/>
    <xf numFmtId="0" fontId="76" fillId="0" borderId="0" xfId="278" applyFont="1" applyAlignment="1">
      <alignment horizontal="center" wrapText="1"/>
    </xf>
    <xf numFmtId="0" fontId="81" fillId="0" borderId="0" xfId="278" applyFont="1" applyAlignment="1">
      <alignment horizontal="center"/>
    </xf>
    <xf numFmtId="41" fontId="101" fillId="0" borderId="0" xfId="278" applyNumberFormat="1" applyFont="1"/>
    <xf numFmtId="41" fontId="73" fillId="0" borderId="0" xfId="278" applyNumberFormat="1" applyFont="1"/>
    <xf numFmtId="10" fontId="73" fillId="0" borderId="0" xfId="289" applyNumberFormat="1" applyFont="1" applyFill="1" applyProtection="1"/>
    <xf numFmtId="164" fontId="73" fillId="0" borderId="0" xfId="289" applyNumberFormat="1" applyFont="1" applyFill="1" applyProtection="1"/>
    <xf numFmtId="186" fontId="14" fillId="0" borderId="0" xfId="289" applyNumberFormat="1" applyFont="1" applyFill="1" applyProtection="1"/>
    <xf numFmtId="41" fontId="86" fillId="28" borderId="0" xfId="278" applyNumberFormat="1" applyFont="1" applyFill="1"/>
    <xf numFmtId="10" fontId="73" fillId="0" borderId="11" xfId="289" applyNumberFormat="1" applyFont="1" applyFill="1" applyBorder="1" applyProtection="1"/>
    <xf numFmtId="173" fontId="73" fillId="0" borderId="0" xfId="86" applyNumberFormat="1" applyFont="1" applyFill="1" applyProtection="1"/>
    <xf numFmtId="10" fontId="73" fillId="0" borderId="0" xfId="289" applyNumberFormat="1" applyFont="1" applyFill="1" applyBorder="1" applyProtection="1"/>
    <xf numFmtId="173" fontId="73" fillId="0" borderId="0" xfId="86" applyNumberFormat="1" applyFont="1" applyFill="1" applyBorder="1" applyProtection="1"/>
    <xf numFmtId="173" fontId="14" fillId="0" borderId="0" xfId="278" applyNumberFormat="1" applyFont="1"/>
    <xf numFmtId="173" fontId="73" fillId="0" borderId="18" xfId="86" applyNumberFormat="1" applyFont="1" applyFill="1" applyBorder="1" applyProtection="1"/>
    <xf numFmtId="0" fontId="76" fillId="30" borderId="0" xfId="278" applyFont="1" applyFill="1" applyProtection="1">
      <protection locked="0"/>
    </xf>
    <xf numFmtId="0" fontId="101" fillId="30" borderId="0" xfId="278" applyFont="1" applyFill="1" applyProtection="1">
      <protection locked="0"/>
    </xf>
    <xf numFmtId="0" fontId="73" fillId="30" borderId="0" xfId="278" applyFont="1" applyFill="1" applyProtection="1">
      <protection locked="0"/>
    </xf>
    <xf numFmtId="10" fontId="80" fillId="30" borderId="11" xfId="289" applyNumberFormat="1" applyFont="1" applyFill="1" applyBorder="1" applyProtection="1">
      <protection locked="0"/>
    </xf>
    <xf numFmtId="173" fontId="80" fillId="30" borderId="0" xfId="278" applyNumberFormat="1" applyFont="1" applyFill="1" applyProtection="1">
      <protection locked="0"/>
    </xf>
    <xf numFmtId="0" fontId="13" fillId="0" borderId="0" xfId="0" applyFont="1"/>
    <xf numFmtId="0" fontId="20" fillId="0" borderId="0" xfId="0" applyFont="1" applyAlignment="1">
      <alignment horizontal="left"/>
    </xf>
    <xf numFmtId="0" fontId="68" fillId="0" borderId="0" xfId="0" applyFont="1"/>
    <xf numFmtId="0" fontId="0" fillId="0" borderId="0" xfId="0" applyAlignment="1">
      <alignment wrapText="1"/>
    </xf>
    <xf numFmtId="0" fontId="8" fillId="0" borderId="0" xfId="0" applyFont="1" applyAlignment="1">
      <alignment horizontal="left"/>
    </xf>
    <xf numFmtId="0" fontId="14" fillId="0" borderId="0" xfId="277" applyNumberFormat="1" applyFont="1" applyProtection="1"/>
    <xf numFmtId="3" fontId="14" fillId="0" borderId="0" xfId="277" applyNumberFormat="1" applyFont="1" applyProtection="1"/>
    <xf numFmtId="10" fontId="4" fillId="0" borderId="0" xfId="289" applyNumberFormat="1" applyAlignment="1" applyProtection="1">
      <alignment horizontal="right"/>
    </xf>
    <xf numFmtId="172" fontId="14" fillId="0" borderId="0" xfId="277" applyFont="1" applyProtection="1"/>
    <xf numFmtId="10" fontId="14" fillId="0" borderId="0" xfId="289" applyNumberFormat="1" applyFont="1" applyFill="1" applyAlignment="1" applyProtection="1">
      <alignment horizontal="right"/>
    </xf>
    <xf numFmtId="3" fontId="11" fillId="0" borderId="0" xfId="277" applyNumberFormat="1" applyFont="1" applyProtection="1"/>
    <xf numFmtId="10" fontId="14" fillId="0" borderId="0" xfId="277" applyNumberFormat="1" applyFont="1" applyAlignment="1" applyProtection="1">
      <alignment horizontal="right"/>
    </xf>
    <xf numFmtId="3" fontId="15" fillId="0" borderId="0" xfId="277" applyNumberFormat="1" applyFont="1" applyAlignment="1" applyProtection="1">
      <alignment horizontal="center"/>
    </xf>
    <xf numFmtId="10" fontId="15" fillId="0" borderId="0" xfId="277" applyNumberFormat="1" applyFont="1" applyAlignment="1" applyProtection="1">
      <alignment horizontal="center"/>
    </xf>
    <xf numFmtId="0" fontId="14" fillId="0" borderId="0" xfId="277" applyNumberFormat="1" applyFont="1" applyAlignment="1" applyProtection="1">
      <alignment horizontal="right"/>
    </xf>
    <xf numFmtId="10" fontId="0" fillId="0" borderId="0" xfId="0" applyNumberFormat="1" applyAlignment="1">
      <alignment horizontal="center"/>
    </xf>
    <xf numFmtId="164" fontId="14" fillId="0" borderId="0" xfId="289" applyNumberFormat="1" applyFont="1" applyAlignment="1" applyProtection="1"/>
    <xf numFmtId="166" fontId="14" fillId="0" borderId="0" xfId="277" applyNumberFormat="1" applyFont="1" applyAlignment="1" applyProtection="1">
      <alignment horizontal="center"/>
    </xf>
    <xf numFmtId="41" fontId="14" fillId="0" borderId="0" xfId="277" applyNumberFormat="1" applyFont="1" applyProtection="1"/>
    <xf numFmtId="41" fontId="14" fillId="0" borderId="0" xfId="277" applyNumberFormat="1" applyFont="1" applyAlignment="1" applyProtection="1">
      <alignment horizontal="center"/>
    </xf>
    <xf numFmtId="164" fontId="15" fillId="0" borderId="0" xfId="289" applyNumberFormat="1" applyFont="1" applyAlignment="1" applyProtection="1"/>
    <xf numFmtId="3" fontId="14" fillId="0" borderId="0" xfId="277" applyNumberFormat="1" applyFont="1" applyAlignment="1" applyProtection="1">
      <alignment horizontal="right"/>
    </xf>
    <xf numFmtId="172" fontId="4" fillId="0" borderId="19" xfId="277" applyFont="1" applyBorder="1" applyProtection="1"/>
    <xf numFmtId="0" fontId="4" fillId="0" borderId="0" xfId="277" applyNumberFormat="1" applyFont="1" applyAlignment="1" applyProtection="1">
      <alignment horizontal="center"/>
    </xf>
    <xf numFmtId="172" fontId="4" fillId="0" borderId="0" xfId="277" applyFont="1" applyProtection="1"/>
    <xf numFmtId="3" fontId="4" fillId="0" borderId="20" xfId="277" applyNumberFormat="1" applyFont="1" applyBorder="1" applyProtection="1"/>
    <xf numFmtId="10" fontId="14" fillId="0" borderId="0" xfId="277" applyNumberFormat="1" applyFont="1" applyAlignment="1" applyProtection="1">
      <alignment horizontal="left"/>
    </xf>
    <xf numFmtId="0" fontId="4" fillId="0" borderId="19" xfId="0" applyFont="1" applyBorder="1"/>
    <xf numFmtId="0" fontId="4" fillId="0" borderId="20" xfId="0" applyFont="1" applyBorder="1"/>
    <xf numFmtId="166" fontId="4" fillId="0" borderId="21" xfId="277" applyNumberFormat="1" applyFont="1" applyBorder="1" applyAlignment="1" applyProtection="1">
      <alignment horizontal="center"/>
    </xf>
    <xf numFmtId="0" fontId="4" fillId="0" borderId="6" xfId="277" applyNumberFormat="1" applyFont="1" applyBorder="1" applyAlignment="1" applyProtection="1">
      <alignment horizontal="center"/>
    </xf>
    <xf numFmtId="174" fontId="4" fillId="0" borderId="22" xfId="0" applyNumberFormat="1" applyFont="1" applyBorder="1"/>
    <xf numFmtId="41" fontId="4" fillId="0" borderId="0" xfId="277" applyNumberFormat="1" applyFont="1" applyProtection="1"/>
    <xf numFmtId="173" fontId="4" fillId="0" borderId="0" xfId="277" applyNumberFormat="1" applyFont="1" applyAlignment="1" applyProtection="1">
      <alignment horizontal="center"/>
    </xf>
    <xf numFmtId="41" fontId="14" fillId="0" borderId="0" xfId="277" applyNumberFormat="1" applyFont="1" applyAlignment="1" applyProtection="1">
      <alignment horizontal="left"/>
    </xf>
    <xf numFmtId="41" fontId="4" fillId="0" borderId="0" xfId="277" applyNumberFormat="1" applyFont="1" applyAlignment="1" applyProtection="1">
      <alignment horizontal="right"/>
    </xf>
    <xf numFmtId="167" fontId="14" fillId="0" borderId="0" xfId="277" applyNumberFormat="1" applyFont="1" applyProtection="1"/>
    <xf numFmtId="164" fontId="14" fillId="0" borderId="0" xfId="277" applyNumberFormat="1" applyFont="1" applyAlignment="1" applyProtection="1">
      <alignment horizontal="left"/>
    </xf>
    <xf numFmtId="3" fontId="14" fillId="0" borderId="0" xfId="277" applyNumberFormat="1" applyFont="1" applyAlignment="1" applyProtection="1">
      <alignment vertical="center" wrapText="1"/>
    </xf>
    <xf numFmtId="41" fontId="14" fillId="0" borderId="0" xfId="277" applyNumberFormat="1" applyFont="1" applyAlignment="1" applyProtection="1">
      <alignment vertical="center"/>
    </xf>
    <xf numFmtId="41" fontId="14" fillId="0" borderId="0" xfId="277" applyNumberFormat="1" applyFont="1" applyAlignment="1" applyProtection="1">
      <alignment horizontal="center" vertical="center"/>
    </xf>
    <xf numFmtId="41" fontId="14" fillId="0" borderId="0" xfId="277" applyNumberFormat="1" applyFont="1" applyAlignment="1" applyProtection="1">
      <alignment horizontal="right"/>
    </xf>
    <xf numFmtId="10" fontId="14" fillId="0" borderId="0" xfId="0" applyNumberFormat="1" applyFont="1"/>
    <xf numFmtId="173" fontId="14" fillId="0" borderId="0" xfId="86" applyNumberFormat="1" applyFont="1" applyProtection="1"/>
    <xf numFmtId="41" fontId="14" fillId="0" borderId="0" xfId="0" applyNumberFormat="1" applyFont="1"/>
    <xf numFmtId="41" fontId="14" fillId="0" borderId="6" xfId="277" applyNumberFormat="1" applyFont="1" applyBorder="1" applyProtection="1"/>
    <xf numFmtId="0" fontId="14" fillId="32" borderId="0" xfId="277" applyNumberFormat="1" applyFont="1" applyFill="1" applyProtection="1"/>
    <xf numFmtId="41" fontId="15" fillId="0" borderId="0" xfId="277" applyNumberFormat="1" applyFont="1" applyProtection="1"/>
    <xf numFmtId="3" fontId="14" fillId="0" borderId="0" xfId="277" applyNumberFormat="1" applyFont="1" applyAlignment="1" applyProtection="1">
      <alignment horizontal="center"/>
    </xf>
    <xf numFmtId="0" fontId="14" fillId="0" borderId="0" xfId="277" applyNumberFormat="1" applyFont="1" applyAlignment="1" applyProtection="1">
      <alignment horizontal="center"/>
    </xf>
    <xf numFmtId="10" fontId="14" fillId="0" borderId="0" xfId="277" applyNumberFormat="1" applyFont="1" applyProtection="1"/>
    <xf numFmtId="169" fontId="14" fillId="0" borderId="0" xfId="277" applyNumberFormat="1" applyFont="1" applyProtection="1"/>
    <xf numFmtId="169" fontId="11" fillId="0" borderId="0" xfId="277" applyNumberFormat="1" applyFont="1" applyProtection="1"/>
    <xf numFmtId="41" fontId="15" fillId="0" borderId="0" xfId="0" applyNumberFormat="1" applyFont="1"/>
    <xf numFmtId="4" fontId="14" fillId="0" borderId="0" xfId="277" applyNumberFormat="1" applyFont="1" applyProtection="1"/>
    <xf numFmtId="10" fontId="15" fillId="0" borderId="0" xfId="0" applyNumberFormat="1" applyFont="1"/>
    <xf numFmtId="173" fontId="14" fillId="0" borderId="0" xfId="86" applyNumberFormat="1" applyFont="1" applyBorder="1" applyProtection="1"/>
    <xf numFmtId="43" fontId="14" fillId="0" borderId="0" xfId="86" applyFont="1" applyProtection="1"/>
    <xf numFmtId="43" fontId="14" fillId="0" borderId="0" xfId="86" applyFont="1" applyFill="1" applyProtection="1"/>
    <xf numFmtId="173" fontId="14" fillId="0" borderId="0" xfId="0" applyNumberFormat="1" applyFont="1"/>
    <xf numFmtId="0" fontId="70" fillId="0" borderId="0" xfId="0" applyFont="1"/>
    <xf numFmtId="0" fontId="14" fillId="27" borderId="0" xfId="0" applyFont="1" applyFill="1"/>
    <xf numFmtId="0" fontId="11" fillId="0" borderId="23" xfId="0" applyFont="1" applyBorder="1"/>
    <xf numFmtId="0" fontId="11" fillId="0" borderId="17" xfId="0" applyFont="1" applyBorder="1"/>
    <xf numFmtId="0" fontId="14" fillId="0" borderId="17" xfId="0" applyFont="1" applyBorder="1"/>
    <xf numFmtId="173" fontId="11" fillId="0" borderId="24" xfId="86" applyNumberFormat="1" applyFont="1" applyBorder="1" applyProtection="1"/>
    <xf numFmtId="0" fontId="7" fillId="0" borderId="0" xfId="86" applyNumberFormat="1" applyFont="1" applyFill="1" applyAlignment="1" applyProtection="1">
      <alignment horizontal="left"/>
    </xf>
    <xf numFmtId="0" fontId="7" fillId="0" borderId="0" xfId="86" applyNumberFormat="1" applyFont="1" applyFill="1" applyBorder="1" applyAlignment="1" applyProtection="1">
      <alignment horizontal="left"/>
    </xf>
    <xf numFmtId="0" fontId="11" fillId="0" borderId="19" xfId="0" applyFont="1" applyBorder="1"/>
    <xf numFmtId="0" fontId="8" fillId="0" borderId="0" xfId="86" applyNumberFormat="1" applyFont="1" applyFill="1" applyBorder="1" applyAlignment="1" applyProtection="1">
      <alignment horizontal="left"/>
    </xf>
    <xf numFmtId="173" fontId="11" fillId="0" borderId="25" xfId="86" applyNumberFormat="1" applyFont="1" applyBorder="1" applyProtection="1"/>
    <xf numFmtId="0" fontId="11" fillId="0" borderId="0" xfId="0" applyFont="1"/>
    <xf numFmtId="173" fontId="11" fillId="0" borderId="21" xfId="86" applyNumberFormat="1" applyFont="1" applyBorder="1" applyProtection="1"/>
    <xf numFmtId="173" fontId="14" fillId="0" borderId="6" xfId="86" applyNumberFormat="1" applyFont="1" applyBorder="1" applyProtection="1"/>
    <xf numFmtId="173" fontId="14" fillId="0" borderId="22" xfId="86" applyNumberFormat="1" applyFont="1" applyBorder="1" applyProtection="1"/>
    <xf numFmtId="0" fontId="9" fillId="0" borderId="0" xfId="0" applyFont="1"/>
    <xf numFmtId="173" fontId="24" fillId="0" borderId="0" xfId="0" applyNumberFormat="1" applyFont="1" applyAlignment="1">
      <alignment horizontal="left"/>
    </xf>
    <xf numFmtId="0" fontId="14" fillId="0" borderId="0" xfId="0" applyFont="1" applyAlignment="1">
      <alignment wrapText="1"/>
    </xf>
    <xf numFmtId="0" fontId="14" fillId="0" borderId="26" xfId="0" applyFont="1" applyBorder="1" applyAlignment="1">
      <alignment horizontal="center"/>
    </xf>
    <xf numFmtId="0" fontId="0" fillId="0" borderId="27" xfId="0" applyBorder="1"/>
    <xf numFmtId="0" fontId="0" fillId="0" borderId="28" xfId="0" applyBorder="1"/>
    <xf numFmtId="0" fontId="14" fillId="0" borderId="19" xfId="0" applyFont="1" applyBorder="1"/>
    <xf numFmtId="0" fontId="11" fillId="0" borderId="24" xfId="0" applyFont="1" applyBorder="1" applyAlignment="1">
      <alignment horizontal="center"/>
    </xf>
    <xf numFmtId="173" fontId="14" fillId="0" borderId="0" xfId="0" applyNumberFormat="1" applyFont="1" applyAlignment="1">
      <alignment horizontal="right"/>
    </xf>
    <xf numFmtId="10" fontId="14" fillId="0" borderId="20" xfId="0" applyNumberFormat="1" applyFont="1" applyBorder="1"/>
    <xf numFmtId="173" fontId="14" fillId="0" borderId="20" xfId="0" applyNumberFormat="1" applyFont="1" applyBorder="1" applyAlignment="1">
      <alignment horizontal="right"/>
    </xf>
    <xf numFmtId="0" fontId="14" fillId="0" borderId="21" xfId="0" applyFont="1" applyBorder="1"/>
    <xf numFmtId="0" fontId="14" fillId="0" borderId="6" xfId="0" applyFont="1" applyBorder="1" applyAlignment="1">
      <alignment horizontal="center"/>
    </xf>
    <xf numFmtId="0" fontId="0" fillId="0" borderId="6" xfId="0" applyBorder="1"/>
    <xf numFmtId="0" fontId="11" fillId="0" borderId="29" xfId="0" applyFont="1" applyBorder="1" applyAlignment="1">
      <alignment horizontal="center" wrapText="1"/>
    </xf>
    <xf numFmtId="173" fontId="11" fillId="0" borderId="0" xfId="86" applyNumberFormat="1" applyFont="1" applyBorder="1" applyAlignment="1" applyProtection="1">
      <alignment horizontal="center" wrapText="1"/>
    </xf>
    <xf numFmtId="173" fontId="11" fillId="0" borderId="29" xfId="86" applyNumberFormat="1" applyFont="1" applyBorder="1" applyAlignment="1" applyProtection="1">
      <alignment horizontal="center" wrapText="1"/>
    </xf>
    <xf numFmtId="173" fontId="11" fillId="0" borderId="24" xfId="86" applyNumberFormat="1" applyFont="1" applyBorder="1" applyAlignment="1" applyProtection="1">
      <alignment horizontal="center" wrapText="1"/>
    </xf>
    <xf numFmtId="0" fontId="11" fillId="0" borderId="30" xfId="0" applyFont="1" applyBorder="1" applyAlignment="1">
      <alignment horizontal="center" wrapText="1"/>
    </xf>
    <xf numFmtId="173" fontId="11" fillId="29" borderId="29" xfId="86" applyNumberFormat="1" applyFont="1" applyFill="1" applyBorder="1" applyAlignment="1" applyProtection="1">
      <alignment horizontal="center" wrapText="1"/>
    </xf>
    <xf numFmtId="0" fontId="11" fillId="0" borderId="31" xfId="0" applyFont="1" applyBorder="1" applyAlignment="1">
      <alignment horizontal="center"/>
    </xf>
    <xf numFmtId="0" fontId="11" fillId="0" borderId="6" xfId="0" applyFont="1" applyBorder="1" applyAlignment="1">
      <alignment horizontal="center"/>
    </xf>
    <xf numFmtId="173" fontId="11" fillId="0" borderId="31" xfId="86" applyNumberFormat="1" applyFont="1" applyBorder="1" applyAlignment="1" applyProtection="1">
      <alignment horizontal="center"/>
    </xf>
    <xf numFmtId="173" fontId="11" fillId="0" borderId="22" xfId="86" applyNumberFormat="1" applyFont="1" applyBorder="1" applyAlignment="1" applyProtection="1">
      <alignment horizontal="center"/>
    </xf>
    <xf numFmtId="0" fontId="11" fillId="0" borderId="30" xfId="0" applyFont="1" applyBorder="1" applyAlignment="1">
      <alignment horizontal="center"/>
    </xf>
    <xf numFmtId="173" fontId="11" fillId="29" borderId="31" xfId="86" applyNumberFormat="1" applyFont="1" applyFill="1" applyBorder="1" applyAlignment="1" applyProtection="1">
      <alignment horizontal="center"/>
    </xf>
    <xf numFmtId="0" fontId="14" fillId="0" borderId="30" xfId="0" applyFont="1" applyBorder="1" applyAlignment="1">
      <alignment horizontal="center"/>
    </xf>
    <xf numFmtId="173" fontId="14" fillId="0" borderId="30" xfId="0" applyNumberFormat="1" applyFont="1" applyBorder="1"/>
    <xf numFmtId="173" fontId="14" fillId="0" borderId="30" xfId="86" applyNumberFormat="1" applyFont="1" applyFill="1" applyBorder="1" applyProtection="1"/>
    <xf numFmtId="173" fontId="14" fillId="0" borderId="20" xfId="86" applyNumberFormat="1" applyFont="1" applyFill="1" applyBorder="1" applyProtection="1"/>
    <xf numFmtId="174" fontId="14" fillId="0" borderId="30" xfId="0" applyNumberFormat="1" applyFont="1" applyBorder="1"/>
    <xf numFmtId="174" fontId="14" fillId="29" borderId="29" xfId="0" applyNumberFormat="1" applyFont="1" applyFill="1" applyBorder="1"/>
    <xf numFmtId="173" fontId="14" fillId="0" borderId="30" xfId="86" applyNumberFormat="1" applyFont="1" applyBorder="1" applyProtection="1"/>
    <xf numFmtId="173" fontId="14" fillId="0" borderId="20" xfId="86" applyNumberFormat="1" applyFont="1" applyBorder="1" applyProtection="1"/>
    <xf numFmtId="174" fontId="14" fillId="29" borderId="30" xfId="0" applyNumberFormat="1" applyFont="1" applyFill="1" applyBorder="1"/>
    <xf numFmtId="174" fontId="14" fillId="29" borderId="30" xfId="0" applyNumberFormat="1" applyFont="1" applyFill="1" applyBorder="1" applyAlignment="1">
      <alignment wrapText="1"/>
    </xf>
    <xf numFmtId="0" fontId="14" fillId="0" borderId="31" xfId="0" applyFont="1" applyBorder="1" applyAlignment="1">
      <alignment horizontal="center"/>
    </xf>
    <xf numFmtId="173" fontId="14" fillId="0" borderId="6" xfId="0" applyNumberFormat="1" applyFont="1" applyBorder="1"/>
    <xf numFmtId="173" fontId="14" fillId="0" borderId="31" xfId="0" applyNumberFormat="1" applyFont="1" applyBorder="1"/>
    <xf numFmtId="173" fontId="14" fillId="0" borderId="31" xfId="86" applyNumberFormat="1" applyFont="1" applyBorder="1" applyProtection="1"/>
    <xf numFmtId="174" fontId="14" fillId="0" borderId="31" xfId="0" applyNumberFormat="1" applyFont="1" applyBorder="1"/>
    <xf numFmtId="174" fontId="14" fillId="29" borderId="31" xfId="0" applyNumberFormat="1" applyFont="1" applyFill="1" applyBorder="1"/>
    <xf numFmtId="174" fontId="14" fillId="0" borderId="0" xfId="0" applyNumberFormat="1" applyFont="1"/>
    <xf numFmtId="0" fontId="10" fillId="30" borderId="0" xfId="86" applyNumberFormat="1" applyFont="1" applyFill="1" applyAlignment="1" applyProtection="1">
      <protection locked="0"/>
    </xf>
    <xf numFmtId="0" fontId="21" fillId="30" borderId="0" xfId="86" applyNumberFormat="1" applyFont="1" applyFill="1" applyAlignment="1" applyProtection="1">
      <alignment horizontal="left"/>
      <protection locked="0"/>
    </xf>
    <xf numFmtId="0" fontId="154" fillId="30" borderId="22" xfId="0" applyFont="1" applyFill="1" applyBorder="1" applyAlignment="1" applyProtection="1">
      <alignment horizontal="right"/>
      <protection locked="0"/>
    </xf>
    <xf numFmtId="173" fontId="154" fillId="30" borderId="20" xfId="86" applyNumberFormat="1" applyFont="1" applyFill="1" applyBorder="1" applyAlignment="1" applyProtection="1">
      <alignment horizontal="right"/>
      <protection locked="0"/>
    </xf>
    <xf numFmtId="0" fontId="154" fillId="30" borderId="20" xfId="0" applyFont="1" applyFill="1" applyBorder="1" applyAlignment="1" applyProtection="1">
      <alignment horizontal="right"/>
      <protection locked="0"/>
    </xf>
    <xf numFmtId="173" fontId="10" fillId="0" borderId="20" xfId="0" applyNumberFormat="1" applyFont="1" applyBorder="1" applyAlignment="1">
      <alignment horizontal="right"/>
    </xf>
    <xf numFmtId="174" fontId="10" fillId="30" borderId="29" xfId="0" applyNumberFormat="1" applyFont="1" applyFill="1" applyBorder="1" applyProtection="1">
      <protection locked="0"/>
    </xf>
    <xf numFmtId="174" fontId="10" fillId="30" borderId="30" xfId="0" applyNumberFormat="1" applyFont="1" applyFill="1" applyBorder="1" applyProtection="1">
      <protection locked="0"/>
    </xf>
    <xf numFmtId="174" fontId="10" fillId="30" borderId="31" xfId="0" applyNumberFormat="1" applyFont="1" applyFill="1" applyBorder="1" applyProtection="1">
      <protection locked="0"/>
    </xf>
    <xf numFmtId="10" fontId="0" fillId="0" borderId="0" xfId="289" applyNumberFormat="1" applyFont="1" applyAlignment="1" applyProtection="1">
      <alignment horizontal="right"/>
    </xf>
    <xf numFmtId="172" fontId="14" fillId="0" borderId="23" xfId="277" applyFont="1" applyBorder="1" applyProtection="1"/>
    <xf numFmtId="172" fontId="14" fillId="0" borderId="17" xfId="277" applyFont="1" applyBorder="1" applyProtection="1"/>
    <xf numFmtId="3" fontId="14" fillId="0" borderId="24" xfId="277" applyNumberFormat="1" applyFont="1" applyBorder="1" applyProtection="1"/>
    <xf numFmtId="172" fontId="14" fillId="0" borderId="19" xfId="277" applyFont="1" applyBorder="1" applyProtection="1"/>
    <xf numFmtId="3" fontId="14" fillId="0" borderId="20" xfId="277" applyNumberFormat="1" applyFont="1" applyBorder="1" applyProtection="1"/>
    <xf numFmtId="0" fontId="14" fillId="0" borderId="0" xfId="277" quotePrefix="1" applyNumberFormat="1" applyFont="1" applyAlignment="1" applyProtection="1">
      <alignment horizontal="center"/>
    </xf>
    <xf numFmtId="0" fontId="14" fillId="0" borderId="20" xfId="0" applyFont="1" applyBorder="1"/>
    <xf numFmtId="10" fontId="34" fillId="0" borderId="0" xfId="0" applyNumberFormat="1" applyFont="1" applyAlignment="1">
      <alignment horizontal="center"/>
    </xf>
    <xf numFmtId="174" fontId="14" fillId="0" borderId="20" xfId="0" applyNumberFormat="1" applyFont="1" applyBorder="1"/>
    <xf numFmtId="174" fontId="14" fillId="0" borderId="22" xfId="0" applyNumberFormat="1" applyFont="1" applyBorder="1"/>
    <xf numFmtId="173" fontId="14" fillId="0" borderId="24" xfId="0" applyNumberFormat="1" applyFont="1" applyBorder="1"/>
    <xf numFmtId="166" fontId="14" fillId="0" borderId="21" xfId="277" applyNumberFormat="1" applyFont="1" applyBorder="1" applyAlignment="1" applyProtection="1">
      <alignment horizontal="center"/>
    </xf>
    <xf numFmtId="0" fontId="14" fillId="0" borderId="6" xfId="277" applyNumberFormat="1" applyFont="1" applyBorder="1" applyAlignment="1" applyProtection="1">
      <alignment horizontal="center"/>
    </xf>
    <xf numFmtId="173" fontId="14" fillId="0" borderId="6" xfId="277" quotePrefix="1" applyNumberFormat="1" applyFont="1" applyBorder="1" applyAlignment="1" applyProtection="1">
      <alignment horizontal="center"/>
    </xf>
    <xf numFmtId="41" fontId="14" fillId="0" borderId="11" xfId="277" applyNumberFormat="1" applyFont="1" applyBorder="1" applyProtection="1"/>
    <xf numFmtId="10" fontId="14" fillId="0" borderId="0" xfId="289" applyNumberFormat="1" applyFont="1" applyFill="1" applyBorder="1" applyAlignment="1" applyProtection="1"/>
    <xf numFmtId="173" fontId="14" fillId="0" borderId="0" xfId="86" applyNumberFormat="1" applyFont="1" applyFill="1" applyBorder="1" applyProtection="1"/>
    <xf numFmtId="181" fontId="14" fillId="0" borderId="0" xfId="86" applyNumberFormat="1" applyFont="1" applyProtection="1"/>
    <xf numFmtId="0" fontId="11" fillId="0" borderId="23" xfId="0" applyFont="1" applyBorder="1" applyAlignment="1">
      <alignment horizontal="center"/>
    </xf>
    <xf numFmtId="173" fontId="14" fillId="0" borderId="19" xfId="86" applyNumberFormat="1" applyFont="1" applyBorder="1" applyProtection="1"/>
    <xf numFmtId="173" fontId="11" fillId="0" borderId="0" xfId="86" applyNumberFormat="1" applyFont="1" applyBorder="1" applyProtection="1"/>
    <xf numFmtId="173" fontId="14" fillId="0" borderId="20" xfId="0" applyNumberFormat="1" applyFont="1" applyBorder="1"/>
    <xf numFmtId="173" fontId="11" fillId="0" borderId="11" xfId="86" applyNumberFormat="1" applyFont="1" applyBorder="1" applyProtection="1"/>
    <xf numFmtId="173" fontId="14" fillId="0" borderId="25" xfId="0" applyNumberFormat="1" applyFont="1" applyBorder="1"/>
    <xf numFmtId="173" fontId="11" fillId="0" borderId="6" xfId="86" applyNumberFormat="1" applyFont="1" applyFill="1" applyBorder="1" applyAlignment="1" applyProtection="1">
      <alignment horizontal="left"/>
    </xf>
    <xf numFmtId="173" fontId="11" fillId="0" borderId="22" xfId="86" applyNumberFormat="1" applyFont="1" applyFill="1" applyBorder="1" applyAlignment="1" applyProtection="1">
      <alignment horizontal="left"/>
    </xf>
    <xf numFmtId="173" fontId="14" fillId="0" borderId="29" xfId="0" applyNumberFormat="1" applyFont="1" applyBorder="1"/>
    <xf numFmtId="174" fontId="14" fillId="0" borderId="29" xfId="0" applyNumberFormat="1" applyFont="1" applyBorder="1"/>
    <xf numFmtId="0" fontId="92" fillId="0" borderId="0" xfId="270" applyFont="1"/>
    <xf numFmtId="173" fontId="10" fillId="30" borderId="0" xfId="86" applyNumberFormat="1" applyFont="1" applyFill="1" applyBorder="1" applyProtection="1">
      <protection locked="0"/>
    </xf>
    <xf numFmtId="10" fontId="10" fillId="30" borderId="0" xfId="289" applyNumberFormat="1" applyFont="1" applyFill="1" applyAlignment="1" applyProtection="1">
      <alignment horizontal="right" wrapText="1"/>
      <protection locked="0"/>
    </xf>
    <xf numFmtId="44" fontId="10" fillId="30" borderId="0" xfId="121" applyFont="1" applyFill="1" applyAlignment="1" applyProtection="1">
      <alignment horizontal="right" wrapText="1"/>
      <protection locked="0"/>
    </xf>
    <xf numFmtId="173" fontId="22" fillId="30" borderId="0" xfId="86" applyNumberFormat="1" applyFont="1" applyFill="1" applyProtection="1">
      <protection locked="0"/>
    </xf>
    <xf numFmtId="190" fontId="22" fillId="30" borderId="0" xfId="0" applyNumberFormat="1" applyFont="1" applyFill="1" applyProtection="1">
      <protection locked="0"/>
    </xf>
    <xf numFmtId="0" fontId="0" fillId="30" borderId="0" xfId="0" applyFill="1" applyAlignment="1" applyProtection="1">
      <alignment horizontal="center"/>
      <protection locked="0"/>
    </xf>
    <xf numFmtId="0" fontId="22" fillId="30" borderId="0" xfId="0" applyFont="1" applyFill="1" applyProtection="1">
      <protection locked="0"/>
    </xf>
    <xf numFmtId="0" fontId="104" fillId="0" borderId="0" xfId="280" applyFont="1"/>
    <xf numFmtId="0" fontId="5" fillId="0" borderId="0" xfId="280"/>
    <xf numFmtId="0" fontId="105" fillId="0" borderId="0" xfId="280" applyFont="1"/>
    <xf numFmtId="0" fontId="106" fillId="0" borderId="0" xfId="280" applyFont="1" applyAlignment="1">
      <alignment horizontal="center"/>
    </xf>
    <xf numFmtId="0" fontId="115" fillId="0" borderId="0" xfId="280" applyFont="1" applyAlignment="1">
      <alignment horizontal="center"/>
    </xf>
    <xf numFmtId="0" fontId="5" fillId="0" borderId="0" xfId="280" applyAlignment="1">
      <alignment horizontal="center"/>
    </xf>
    <xf numFmtId="0" fontId="107" fillId="0" borderId="15" xfId="280" applyFont="1" applyBorder="1"/>
    <xf numFmtId="0" fontId="105" fillId="0" borderId="15" xfId="280" applyFont="1" applyBorder="1"/>
    <xf numFmtId="0" fontId="107" fillId="0" borderId="0" xfId="280" applyFont="1"/>
    <xf numFmtId="0" fontId="5" fillId="0" borderId="0" xfId="280" applyAlignment="1">
      <alignment horizontal="left"/>
    </xf>
    <xf numFmtId="191" fontId="5" fillId="0" borderId="0" xfId="280" applyNumberFormat="1"/>
    <xf numFmtId="0" fontId="5" fillId="0" borderId="0" xfId="280" applyAlignment="1">
      <alignment wrapText="1"/>
    </xf>
    <xf numFmtId="0" fontId="84" fillId="0" borderId="32" xfId="280" applyFont="1" applyBorder="1" applyAlignment="1">
      <alignment horizontal="center"/>
    </xf>
    <xf numFmtId="0" fontId="5" fillId="0" borderId="33" xfId="280" applyBorder="1"/>
    <xf numFmtId="3" fontId="5" fillId="0" borderId="0" xfId="280" applyNumberFormat="1"/>
    <xf numFmtId="3" fontId="5" fillId="0" borderId="34" xfId="280" applyNumberFormat="1" applyBorder="1"/>
    <xf numFmtId="0" fontId="7" fillId="0" borderId="33" xfId="280" applyFont="1" applyBorder="1"/>
    <xf numFmtId="10" fontId="79" fillId="0" borderId="35" xfId="289" applyNumberFormat="1" applyFont="1" applyFill="1" applyBorder="1" applyAlignment="1" applyProtection="1">
      <alignment horizontal="center"/>
    </xf>
    <xf numFmtId="0" fontId="14" fillId="0" borderId="0" xfId="284" applyFont="1"/>
    <xf numFmtId="0" fontId="11" fillId="0" borderId="0" xfId="284" applyFont="1" applyAlignment="1">
      <alignment horizontal="center" wrapText="1"/>
    </xf>
    <xf numFmtId="173" fontId="14" fillId="0" borderId="11" xfId="86" applyNumberFormat="1" applyFont="1" applyFill="1" applyBorder="1" applyAlignment="1" applyProtection="1"/>
    <xf numFmtId="173" fontId="14" fillId="0" borderId="0" xfId="86" applyNumberFormat="1" applyFont="1" applyFill="1" applyBorder="1" applyAlignment="1" applyProtection="1"/>
    <xf numFmtId="0" fontId="14" fillId="0" borderId="0" xfId="270" applyFont="1" applyAlignment="1">
      <alignment horizontal="left" vertical="top" wrapText="1"/>
    </xf>
    <xf numFmtId="0" fontId="112" fillId="0" borderId="0" xfId="284"/>
    <xf numFmtId="0" fontId="11" fillId="0" borderId="0" xfId="284" applyFont="1"/>
    <xf numFmtId="173" fontId="14" fillId="0" borderId="0" xfId="284" applyNumberFormat="1" applyFont="1"/>
    <xf numFmtId="0" fontId="14" fillId="0" borderId="0" xfId="284" applyFont="1" applyAlignment="1">
      <alignment vertical="top" wrapText="1"/>
    </xf>
    <xf numFmtId="10" fontId="14" fillId="0" borderId="0" xfId="284" applyNumberFormat="1" applyFont="1"/>
    <xf numFmtId="44" fontId="14" fillId="0" borderId="0" xfId="284" applyNumberFormat="1" applyFont="1"/>
    <xf numFmtId="0" fontId="116" fillId="0" borderId="0" xfId="284" applyFont="1"/>
    <xf numFmtId="173" fontId="14" fillId="0" borderId="11" xfId="284" applyNumberFormat="1" applyFont="1" applyBorder="1"/>
    <xf numFmtId="10" fontId="14" fillId="0" borderId="0" xfId="289" applyNumberFormat="1" applyFont="1" applyProtection="1"/>
    <xf numFmtId="10" fontId="14" fillId="0" borderId="0" xfId="289" applyNumberFormat="1" applyFont="1" applyFill="1" applyProtection="1"/>
    <xf numFmtId="10" fontId="14" fillId="32" borderId="0" xfId="289" applyNumberFormat="1" applyFont="1" applyFill="1" applyProtection="1"/>
    <xf numFmtId="10" fontId="14" fillId="0" borderId="11" xfId="289" applyNumberFormat="1" applyFont="1" applyBorder="1" applyProtection="1"/>
    <xf numFmtId="10" fontId="11" fillId="0" borderId="0" xfId="289" applyNumberFormat="1" applyFont="1" applyProtection="1"/>
    <xf numFmtId="173" fontId="14" fillId="0" borderId="11" xfId="86" applyNumberFormat="1" applyFont="1" applyFill="1" applyBorder="1" applyProtection="1"/>
    <xf numFmtId="0" fontId="117" fillId="0" borderId="0" xfId="284" applyFont="1"/>
    <xf numFmtId="0" fontId="96" fillId="0" borderId="0" xfId="284" applyFont="1"/>
    <xf numFmtId="43" fontId="14" fillId="0" borderId="0" xfId="284" applyNumberFormat="1" applyFont="1"/>
    <xf numFmtId="10" fontId="14" fillId="0" borderId="11" xfId="289" applyNumberFormat="1" applyFont="1" applyFill="1" applyBorder="1" applyProtection="1"/>
    <xf numFmtId="10" fontId="96" fillId="0" borderId="0" xfId="289" applyNumberFormat="1" applyFont="1" applyFill="1" applyProtection="1"/>
    <xf numFmtId="10" fontId="14" fillId="30" borderId="0" xfId="289" applyNumberFormat="1" applyFont="1" applyFill="1" applyAlignment="1" applyProtection="1">
      <alignment horizontal="right" wrapText="1"/>
      <protection locked="0"/>
    </xf>
    <xf numFmtId="164" fontId="10" fillId="30" borderId="0" xfId="289" applyNumberFormat="1" applyFont="1" applyFill="1" applyAlignment="1" applyProtection="1">
      <alignment horizontal="right" wrapText="1"/>
      <protection locked="0"/>
    </xf>
    <xf numFmtId="44" fontId="14" fillId="30" borderId="0" xfId="121" applyFont="1" applyFill="1" applyAlignment="1" applyProtection="1">
      <alignment horizontal="right" wrapText="1"/>
      <protection locked="0"/>
    </xf>
    <xf numFmtId="173" fontId="14" fillId="30" borderId="0" xfId="86" applyNumberFormat="1" applyFont="1" applyFill="1" applyProtection="1">
      <protection locked="0"/>
    </xf>
    <xf numFmtId="170" fontId="124" fillId="30" borderId="31" xfId="0" applyNumberFormat="1" applyFont="1" applyFill="1" applyBorder="1" applyAlignment="1" applyProtection="1">
      <alignment horizontal="center"/>
      <protection locked="0"/>
    </xf>
    <xf numFmtId="0" fontId="124" fillId="0" borderId="0" xfId="0" applyFont="1" applyAlignment="1">
      <alignment horizontal="left"/>
    </xf>
    <xf numFmtId="0" fontId="124" fillId="0" borderId="0" xfId="0" applyFont="1"/>
    <xf numFmtId="0" fontId="124" fillId="0" borderId="29" xfId="0" applyFont="1" applyBorder="1" applyAlignment="1">
      <alignment horizontal="center" wrapText="1"/>
    </xf>
    <xf numFmtId="0" fontId="124" fillId="0" borderId="30" xfId="0" applyFont="1" applyBorder="1" applyAlignment="1">
      <alignment horizontal="center" wrapText="1"/>
    </xf>
    <xf numFmtId="0" fontId="124" fillId="0" borderId="30" xfId="0" applyFont="1" applyBorder="1"/>
    <xf numFmtId="170" fontId="125" fillId="0" borderId="0" xfId="0" applyNumberFormat="1" applyFont="1" applyAlignment="1">
      <alignment horizontal="right"/>
    </xf>
    <xf numFmtId="170" fontId="124" fillId="0" borderId="0" xfId="0" applyNumberFormat="1" applyFont="1" applyAlignment="1">
      <alignment horizontal="center"/>
    </xf>
    <xf numFmtId="170" fontId="124" fillId="0" borderId="0" xfId="0" applyNumberFormat="1" applyFont="1"/>
    <xf numFmtId="170" fontId="125" fillId="0" borderId="0" xfId="0" applyNumberFormat="1" applyFont="1" applyAlignment="1">
      <alignment horizontal="center"/>
    </xf>
    <xf numFmtId="170" fontId="7" fillId="0" borderId="0" xfId="0" applyNumberFormat="1" applyFont="1"/>
    <xf numFmtId="5" fontId="124" fillId="0" borderId="31" xfId="0" applyNumberFormat="1" applyFont="1" applyBorder="1" applyAlignment="1">
      <alignment horizontal="center"/>
    </xf>
    <xf numFmtId="173" fontId="124" fillId="0" borderId="0" xfId="0" applyNumberFormat="1" applyFont="1"/>
    <xf numFmtId="0" fontId="124" fillId="0" borderId="0" xfId="0" applyFont="1" applyAlignment="1">
      <alignment horizontal="center"/>
    </xf>
    <xf numFmtId="173" fontId="124" fillId="0" borderId="6" xfId="0" applyNumberFormat="1" applyFont="1" applyBorder="1"/>
    <xf numFmtId="0" fontId="124" fillId="0" borderId="6" xfId="0" applyFont="1" applyBorder="1" applyAlignment="1">
      <alignment horizontal="center"/>
    </xf>
    <xf numFmtId="0" fontId="7" fillId="0" borderId="6" xfId="0" applyFont="1" applyBorder="1"/>
    <xf numFmtId="173" fontId="124" fillId="0" borderId="0" xfId="0" applyNumberFormat="1" applyFont="1" applyAlignment="1">
      <alignment horizontal="left"/>
    </xf>
    <xf numFmtId="0" fontId="125" fillId="0" borderId="0" xfId="0" applyFont="1" applyAlignment="1">
      <alignment horizontal="left"/>
    </xf>
    <xf numFmtId="0" fontId="125" fillId="0" borderId="0" xfId="0" applyFont="1" applyAlignment="1">
      <alignment horizontal="center" wrapText="1"/>
    </xf>
    <xf numFmtId="0" fontId="125" fillId="0" borderId="0" xfId="0" applyFont="1" applyAlignment="1">
      <alignment horizontal="center"/>
    </xf>
    <xf numFmtId="173" fontId="125" fillId="0" borderId="0" xfId="0" applyNumberFormat="1" applyFont="1" applyAlignment="1">
      <alignment horizontal="center" wrapText="1"/>
    </xf>
    <xf numFmtId="173" fontId="125" fillId="0" borderId="0" xfId="0" applyNumberFormat="1" applyFont="1" applyAlignment="1">
      <alignment horizontal="center"/>
    </xf>
    <xf numFmtId="175" fontId="124" fillId="0" borderId="0" xfId="290" applyNumberFormat="1" applyFont="1" applyFill="1" applyProtection="1"/>
    <xf numFmtId="173" fontId="124" fillId="0" borderId="0" xfId="0" applyNumberFormat="1" applyFont="1" applyAlignment="1">
      <alignment horizontal="center"/>
    </xf>
    <xf numFmtId="0" fontId="126" fillId="0" borderId="0" xfId="0" applyFont="1" applyAlignment="1">
      <alignment horizontal="center"/>
    </xf>
    <xf numFmtId="173" fontId="124" fillId="0" borderId="0" xfId="88" applyNumberFormat="1" applyFont="1" applyFill="1" applyProtection="1"/>
    <xf numFmtId="175" fontId="124" fillId="0" borderId="0" xfId="0" applyNumberFormat="1" applyFont="1"/>
    <xf numFmtId="173" fontId="124" fillId="0" borderId="11" xfId="88" applyNumberFormat="1" applyFont="1" applyFill="1" applyBorder="1" applyProtection="1"/>
    <xf numFmtId="173" fontId="125" fillId="0" borderId="0" xfId="88" applyNumberFormat="1" applyFont="1" applyFill="1" applyProtection="1"/>
    <xf numFmtId="173" fontId="125" fillId="0" borderId="0" xfId="88" applyNumberFormat="1" applyFont="1" applyFill="1" applyAlignment="1" applyProtection="1">
      <alignment horizontal="center"/>
    </xf>
    <xf numFmtId="0" fontId="126" fillId="0" borderId="0" xfId="0" applyFont="1"/>
    <xf numFmtId="173" fontId="125" fillId="0" borderId="0" xfId="0" applyNumberFormat="1" applyFont="1"/>
    <xf numFmtId="193" fontId="7" fillId="0" borderId="0" xfId="0" applyNumberFormat="1" applyFont="1"/>
    <xf numFmtId="173" fontId="7" fillId="0" borderId="0" xfId="88" applyNumberFormat="1" applyFont="1" applyFill="1" applyProtection="1"/>
    <xf numFmtId="173" fontId="7" fillId="0" borderId="0" xfId="122" applyNumberFormat="1" applyFont="1" applyFill="1" applyProtection="1"/>
    <xf numFmtId="175" fontId="124" fillId="30" borderId="0" xfId="290" applyNumberFormat="1" applyFont="1" applyFill="1" applyProtection="1">
      <protection locked="0"/>
    </xf>
    <xf numFmtId="173" fontId="4" fillId="30" borderId="6" xfId="277" applyNumberFormat="1" applyFont="1" applyFill="1" applyBorder="1" applyAlignment="1" applyProtection="1">
      <alignment horizontal="center"/>
      <protection locked="0"/>
    </xf>
    <xf numFmtId="174" fontId="154" fillId="30" borderId="0" xfId="0" applyNumberFormat="1" applyFont="1" applyFill="1" applyProtection="1">
      <protection locked="0"/>
    </xf>
    <xf numFmtId="41" fontId="14" fillId="32" borderId="0" xfId="277" applyNumberFormat="1" applyFont="1" applyFill="1" applyProtection="1"/>
    <xf numFmtId="41" fontId="14" fillId="32" borderId="0" xfId="277" applyNumberFormat="1" applyFont="1" applyFill="1" applyAlignment="1" applyProtection="1">
      <alignment horizontal="center"/>
    </xf>
    <xf numFmtId="41" fontId="14" fillId="32" borderId="0" xfId="0" applyNumberFormat="1" applyFont="1" applyFill="1"/>
    <xf numFmtId="173" fontId="14" fillId="32" borderId="0" xfId="86" applyNumberFormat="1" applyFont="1" applyFill="1" applyProtection="1"/>
    <xf numFmtId="10" fontId="14" fillId="32" borderId="0" xfId="0" applyNumberFormat="1" applyFont="1" applyFill="1"/>
    <xf numFmtId="10" fontId="15" fillId="32" borderId="0" xfId="0" applyNumberFormat="1" applyFont="1" applyFill="1"/>
    <xf numFmtId="3" fontId="7" fillId="30" borderId="0" xfId="0" applyNumberFormat="1" applyFont="1" applyFill="1" applyAlignment="1" applyProtection="1">
      <alignment horizontal="center"/>
      <protection locked="0"/>
    </xf>
    <xf numFmtId="0" fontId="17" fillId="30" borderId="0" xfId="270" applyFont="1" applyFill="1" applyAlignment="1" applyProtection="1">
      <alignment horizontal="left"/>
      <protection locked="0"/>
    </xf>
    <xf numFmtId="0" fontId="17" fillId="30" borderId="0" xfId="270" applyFont="1" applyFill="1" applyProtection="1">
      <protection locked="0"/>
    </xf>
    <xf numFmtId="0" fontId="12" fillId="30" borderId="0" xfId="270" applyFont="1" applyFill="1" applyAlignment="1" applyProtection="1">
      <alignment horizontal="center"/>
      <protection locked="0"/>
    </xf>
    <xf numFmtId="3" fontId="65" fillId="30" borderId="0" xfId="0" quotePrefix="1" applyNumberFormat="1" applyFont="1" applyFill="1" applyProtection="1">
      <protection locked="0"/>
    </xf>
    <xf numFmtId="3" fontId="127" fillId="30" borderId="0" xfId="0" applyNumberFormat="1" applyFont="1" applyFill="1" applyProtection="1">
      <protection locked="0"/>
    </xf>
    <xf numFmtId="41" fontId="127" fillId="30" borderId="0" xfId="270" applyNumberFormat="1" applyFont="1" applyFill="1" applyProtection="1">
      <protection locked="0"/>
    </xf>
    <xf numFmtId="0" fontId="65" fillId="0" borderId="0" xfId="270" applyFont="1" applyAlignment="1">
      <alignment horizontal="center"/>
    </xf>
    <xf numFmtId="0" fontId="65" fillId="0" borderId="0" xfId="270" applyFont="1"/>
    <xf numFmtId="41" fontId="65" fillId="0" borderId="0" xfId="270" applyNumberFormat="1" applyFont="1"/>
    <xf numFmtId="41" fontId="127" fillId="30" borderId="11" xfId="270" applyNumberFormat="1" applyFont="1" applyFill="1" applyBorder="1" applyProtection="1">
      <protection locked="0"/>
    </xf>
    <xf numFmtId="0" fontId="65" fillId="0" borderId="0" xfId="0" applyFont="1"/>
    <xf numFmtId="173" fontId="65" fillId="0" borderId="0" xfId="86" applyNumberFormat="1" applyFont="1" applyFill="1"/>
    <xf numFmtId="173" fontId="128" fillId="0" borderId="0" xfId="86" applyNumberFormat="1" applyFont="1" applyFill="1"/>
    <xf numFmtId="38" fontId="65" fillId="0" borderId="0" xfId="0" applyNumberFormat="1" applyFont="1"/>
    <xf numFmtId="0" fontId="65" fillId="0" borderId="0" xfId="220" applyFont="1" applyAlignment="1">
      <alignment horizontal="center"/>
    </xf>
    <xf numFmtId="0" fontId="65" fillId="0" borderId="0" xfId="220" applyFont="1"/>
    <xf numFmtId="0" fontId="65" fillId="0" borderId="0" xfId="270" applyFont="1" applyAlignment="1">
      <alignment horizontal="left"/>
    </xf>
    <xf numFmtId="3" fontId="65" fillId="0" borderId="0" xfId="220" applyNumberFormat="1" applyFont="1"/>
    <xf numFmtId="38" fontId="65" fillId="0" borderId="0" xfId="0" applyNumberFormat="1" applyFont="1" applyAlignment="1">
      <alignment horizontal="center"/>
    </xf>
    <xf numFmtId="0" fontId="129" fillId="0" borderId="0" xfId="270" applyFont="1" applyAlignment="1">
      <alignment horizontal="center"/>
    </xf>
    <xf numFmtId="0" fontId="42" fillId="0" borderId="0" xfId="270" applyFont="1" applyAlignment="1">
      <alignment horizontal="center"/>
    </xf>
    <xf numFmtId="9" fontId="42" fillId="0" borderId="0" xfId="270" applyNumberFormat="1" applyFont="1" applyAlignment="1">
      <alignment horizontal="center"/>
    </xf>
    <xf numFmtId="0" fontId="42" fillId="0" borderId="0" xfId="270" applyFont="1"/>
    <xf numFmtId="0" fontId="42" fillId="0" borderId="0" xfId="270" applyFont="1" applyAlignment="1">
      <alignment horizontal="center" wrapText="1"/>
    </xf>
    <xf numFmtId="0" fontId="129" fillId="0" borderId="0" xfId="270" applyFont="1" applyAlignment="1">
      <alignment horizontal="right"/>
    </xf>
    <xf numFmtId="0" fontId="65" fillId="0" borderId="0" xfId="0" applyFont="1" applyAlignment="1">
      <alignment horizontal="center" wrapText="1"/>
    </xf>
    <xf numFmtId="0" fontId="42" fillId="0" borderId="11" xfId="270" applyFont="1" applyBorder="1" applyAlignment="1">
      <alignment horizontal="center"/>
    </xf>
    <xf numFmtId="173" fontId="155" fillId="30" borderId="0" xfId="86" applyNumberFormat="1" applyFont="1" applyFill="1"/>
    <xf numFmtId="173" fontId="14" fillId="0" borderId="30" xfId="98" applyNumberFormat="1" applyFont="1" applyFill="1" applyBorder="1" applyProtection="1"/>
    <xf numFmtId="173" fontId="14" fillId="0" borderId="20" xfId="98" applyNumberFormat="1" applyFont="1" applyFill="1" applyBorder="1" applyProtection="1"/>
    <xf numFmtId="0" fontId="14" fillId="0" borderId="0" xfId="0" applyFont="1" applyAlignment="1">
      <alignment vertical="top" wrapText="1"/>
    </xf>
    <xf numFmtId="0" fontId="11" fillId="0" borderId="0" xfId="283" applyFont="1" applyAlignment="1">
      <alignment horizontal="center"/>
    </xf>
    <xf numFmtId="43" fontId="14" fillId="0" borderId="0" xfId="119" applyFont="1" applyFill="1" applyProtection="1"/>
    <xf numFmtId="173" fontId="10" fillId="30" borderId="0" xfId="119" applyNumberFormat="1" applyFont="1" applyFill="1" applyProtection="1">
      <protection locked="0"/>
    </xf>
    <xf numFmtId="173" fontId="14" fillId="0" borderId="0" xfId="283" applyNumberFormat="1" applyFont="1"/>
    <xf numFmtId="0" fontId="132" fillId="0" borderId="0" xfId="0" applyFont="1" applyAlignment="1">
      <alignment vertical="center"/>
    </xf>
    <xf numFmtId="0" fontId="73" fillId="0" borderId="11" xfId="278" applyFont="1" applyBorder="1" applyAlignment="1">
      <alignment horizontal="center"/>
    </xf>
    <xf numFmtId="173" fontId="80" fillId="30" borderId="11" xfId="278" applyNumberFormat="1" applyFont="1" applyFill="1" applyBorder="1" applyProtection="1">
      <protection locked="0"/>
    </xf>
    <xf numFmtId="173" fontId="80" fillId="0" borderId="11" xfId="278" applyNumberFormat="1" applyFont="1" applyBorder="1"/>
    <xf numFmtId="0" fontId="73" fillId="0" borderId="11" xfId="278" applyFont="1" applyBorder="1"/>
    <xf numFmtId="0" fontId="14" fillId="0" borderId="11" xfId="278" applyFont="1" applyBorder="1"/>
    <xf numFmtId="0" fontId="20" fillId="0" borderId="11" xfId="278" applyFont="1" applyBorder="1"/>
    <xf numFmtId="173" fontId="91" fillId="0" borderId="11" xfId="278" applyNumberFormat="1" applyFont="1" applyBorder="1"/>
    <xf numFmtId="173" fontId="73" fillId="0" borderId="0" xfId="278" applyNumberFormat="1" applyFont="1" applyProtection="1">
      <protection locked="0"/>
    </xf>
    <xf numFmtId="9" fontId="80" fillId="30" borderId="0" xfId="289" applyFont="1" applyFill="1" applyBorder="1" applyProtection="1">
      <protection locked="0"/>
    </xf>
    <xf numFmtId="173" fontId="80" fillId="30" borderId="0" xfId="278" applyNumberFormat="1" applyFont="1" applyFill="1" applyAlignment="1" applyProtection="1">
      <alignment horizontal="center"/>
      <protection locked="0"/>
    </xf>
    <xf numFmtId="0" fontId="14" fillId="0" borderId="0" xfId="174"/>
    <xf numFmtId="0" fontId="14" fillId="0" borderId="0" xfId="174" applyAlignment="1">
      <alignment horizontal="center"/>
    </xf>
    <xf numFmtId="41" fontId="10" fillId="30" borderId="0" xfId="271" applyNumberFormat="1" applyFont="1" applyFill="1" applyProtection="1">
      <protection locked="0"/>
    </xf>
    <xf numFmtId="0" fontId="11" fillId="0" borderId="0" xfId="174" applyFont="1" applyAlignment="1">
      <alignment horizontal="left"/>
    </xf>
    <xf numFmtId="3" fontId="14" fillId="0" borderId="0" xfId="174" applyNumberFormat="1"/>
    <xf numFmtId="0" fontId="15" fillId="0" borderId="0" xfId="174" applyFont="1" applyAlignment="1">
      <alignment horizontal="center"/>
    </xf>
    <xf numFmtId="3" fontId="14" fillId="0" borderId="0" xfId="174" applyNumberFormat="1" applyAlignment="1">
      <alignment horizontal="centerContinuous"/>
    </xf>
    <xf numFmtId="3" fontId="15" fillId="0" borderId="0" xfId="174" applyNumberFormat="1" applyFont="1" applyAlignment="1">
      <alignment horizontal="centerContinuous"/>
    </xf>
    <xf numFmtId="3" fontId="14" fillId="0" borderId="36" xfId="174" applyNumberFormat="1" applyBorder="1"/>
    <xf numFmtId="3" fontId="14" fillId="0" borderId="0" xfId="174" applyNumberFormat="1" applyAlignment="1">
      <alignment horizontal="left"/>
    </xf>
    <xf numFmtId="37" fontId="14" fillId="0" borderId="0" xfId="174" applyNumberFormat="1"/>
    <xf numFmtId="37" fontId="14" fillId="0" borderId="0" xfId="174" applyNumberFormat="1" applyAlignment="1">
      <alignment horizontal="center"/>
    </xf>
    <xf numFmtId="37" fontId="14" fillId="0" borderId="36" xfId="174" applyNumberFormat="1" applyBorder="1"/>
    <xf numFmtId="37" fontId="14" fillId="0" borderId="37" xfId="174" applyNumberFormat="1" applyBorder="1"/>
    <xf numFmtId="37" fontId="14" fillId="0" borderId="38" xfId="174" applyNumberFormat="1" applyBorder="1"/>
    <xf numFmtId="3" fontId="14" fillId="0" borderId="0" xfId="174" applyNumberFormat="1" applyAlignment="1" applyProtection="1">
      <alignment horizontal="center"/>
      <protection locked="0"/>
    </xf>
    <xf numFmtId="3" fontId="14" fillId="0" borderId="0" xfId="174" applyNumberFormat="1" applyAlignment="1">
      <alignment horizontal="center"/>
    </xf>
    <xf numFmtId="3" fontId="14" fillId="0" borderId="0" xfId="174" applyNumberFormat="1" applyProtection="1">
      <protection locked="0"/>
    </xf>
    <xf numFmtId="0" fontId="14" fillId="0" borderId="0" xfId="174" applyAlignment="1">
      <alignment horizontal="left"/>
    </xf>
    <xf numFmtId="37" fontId="14" fillId="0" borderId="14" xfId="174" applyNumberFormat="1" applyBorder="1"/>
    <xf numFmtId="37" fontId="156" fillId="0" borderId="37" xfId="174" applyNumberFormat="1" applyFont="1" applyBorder="1"/>
    <xf numFmtId="37" fontId="156" fillId="0" borderId="0" xfId="174" applyNumberFormat="1" applyFont="1"/>
    <xf numFmtId="4" fontId="14" fillId="0" borderId="0" xfId="174" applyNumberFormat="1" applyAlignment="1">
      <alignment horizontal="center"/>
    </xf>
    <xf numFmtId="194" fontId="10" fillId="30" borderId="0" xfId="271" applyNumberFormat="1" applyFont="1" applyFill="1" applyProtection="1">
      <protection locked="0"/>
    </xf>
    <xf numFmtId="3" fontId="14" fillId="33" borderId="0" xfId="174" applyNumberFormat="1" applyFill="1"/>
    <xf numFmtId="0" fontId="14" fillId="33" borderId="0" xfId="174" applyFill="1"/>
    <xf numFmtId="3" fontId="14" fillId="33" borderId="0" xfId="174" applyNumberFormat="1" applyFill="1" applyAlignment="1" applyProtection="1">
      <alignment horizontal="center"/>
      <protection locked="0"/>
    </xf>
    <xf numFmtId="0" fontId="14" fillId="33" borderId="0" xfId="174" applyFill="1" applyAlignment="1">
      <alignment horizontal="center"/>
    </xf>
    <xf numFmtId="0" fontId="15" fillId="33" borderId="0" xfId="174" applyFont="1" applyFill="1" applyAlignment="1">
      <alignment horizontal="center"/>
    </xf>
    <xf numFmtId="3" fontId="11" fillId="0" borderId="0" xfId="174" applyNumberFormat="1" applyFont="1" applyAlignment="1">
      <alignment horizontal="left"/>
    </xf>
    <xf numFmtId="194" fontId="10" fillId="30" borderId="0" xfId="272" applyNumberFormat="1" applyFont="1" applyFill="1" applyProtection="1">
      <protection locked="0"/>
    </xf>
    <xf numFmtId="0" fontId="20" fillId="0" borderId="11" xfId="278" applyFont="1" applyBorder="1" applyAlignment="1">
      <alignment horizontal="center"/>
    </xf>
    <xf numFmtId="173" fontId="73" fillId="0" borderId="11" xfId="278" applyNumberFormat="1" applyFont="1" applyBorder="1"/>
    <xf numFmtId="0" fontId="14" fillId="0" borderId="0" xfId="0" applyFont="1" applyAlignment="1">
      <alignment horizontal="right"/>
    </xf>
    <xf numFmtId="0" fontId="11" fillId="0" borderId="0" xfId="281" applyFont="1" applyAlignment="1">
      <alignment horizontal="centerContinuous"/>
    </xf>
    <xf numFmtId="0" fontId="14" fillId="0" borderId="0" xfId="281" applyAlignment="1">
      <alignment horizontal="left"/>
    </xf>
    <xf numFmtId="0" fontId="11" fillId="0" borderId="0" xfId="281" applyFont="1" applyAlignment="1">
      <alignment horizontal="center"/>
    </xf>
    <xf numFmtId="0" fontId="11" fillId="0" borderId="0" xfId="281" applyFont="1" applyAlignment="1">
      <alignment wrapText="1"/>
    </xf>
    <xf numFmtId="0" fontId="14" fillId="0" borderId="39" xfId="0" applyFont="1" applyBorder="1" applyAlignment="1">
      <alignment horizontal="center" wrapText="1"/>
    </xf>
    <xf numFmtId="0" fontId="11" fillId="0" borderId="32" xfId="281" applyFont="1" applyBorder="1" applyAlignment="1">
      <alignment horizontal="center" wrapText="1"/>
    </xf>
    <xf numFmtId="0" fontId="11" fillId="0" borderId="0" xfId="281" applyFont="1" applyAlignment="1">
      <alignment horizontal="center" wrapText="1"/>
    </xf>
    <xf numFmtId="0" fontId="14" fillId="0" borderId="33" xfId="0" applyFont="1" applyBorder="1" applyAlignment="1">
      <alignment horizontal="center"/>
    </xf>
    <xf numFmtId="0" fontId="11" fillId="0" borderId="34" xfId="281" applyFont="1" applyBorder="1" applyAlignment="1">
      <alignment horizontal="center"/>
    </xf>
    <xf numFmtId="0" fontId="134" fillId="0" borderId="0" xfId="0" applyFont="1"/>
    <xf numFmtId="3" fontId="26" fillId="0" borderId="11" xfId="220" applyNumberFormat="1" applyFont="1" applyBorder="1" applyAlignment="1">
      <alignment horizontal="center" wrapText="1"/>
    </xf>
    <xf numFmtId="0" fontId="14" fillId="0" borderId="34" xfId="281" quotePrefix="1" applyBorder="1" applyAlignment="1">
      <alignment horizontal="left"/>
    </xf>
    <xf numFmtId="173" fontId="10" fillId="26" borderId="0" xfId="112" applyNumberFormat="1" applyFont="1" applyFill="1" applyAlignment="1" applyProtection="1">
      <protection locked="0"/>
    </xf>
    <xf numFmtId="0" fontId="14" fillId="0" borderId="34" xfId="281" applyBorder="1"/>
    <xf numFmtId="0" fontId="14" fillId="0" borderId="40" xfId="0" applyFont="1" applyBorder="1" applyAlignment="1">
      <alignment horizontal="center"/>
    </xf>
    <xf numFmtId="0" fontId="14" fillId="0" borderId="35" xfId="281" applyBorder="1"/>
    <xf numFmtId="0" fontId="14" fillId="0" borderId="35" xfId="281" applyBorder="1" applyAlignment="1">
      <alignment horizontal="right"/>
    </xf>
    <xf numFmtId="173" fontId="14" fillId="0" borderId="14" xfId="88" applyNumberFormat="1" applyFont="1" applyBorder="1"/>
    <xf numFmtId="0" fontId="14" fillId="0" borderId="0" xfId="281"/>
    <xf numFmtId="37" fontId="14" fillId="0" borderId="0" xfId="281" applyNumberFormat="1"/>
    <xf numFmtId="172" fontId="14" fillId="0" borderId="0" xfId="274" applyFont="1"/>
    <xf numFmtId="0" fontId="14" fillId="0" borderId="16" xfId="0" applyFont="1" applyBorder="1" applyAlignment="1">
      <alignment horizontal="center"/>
    </xf>
    <xf numFmtId="0" fontId="14" fillId="0" borderId="42" xfId="281" applyBorder="1" applyAlignment="1">
      <alignment horizontal="right"/>
    </xf>
    <xf numFmtId="0" fontId="14" fillId="0" borderId="39" xfId="0" applyFont="1" applyBorder="1" applyAlignment="1">
      <alignment horizontal="center"/>
    </xf>
    <xf numFmtId="0" fontId="11" fillId="0" borderId="2" xfId="281" applyFont="1" applyBorder="1" applyAlignment="1">
      <alignment horizontal="centerContinuous" wrapText="1"/>
    </xf>
    <xf numFmtId="0" fontId="14" fillId="0" borderId="39" xfId="0" applyFont="1" applyBorder="1"/>
    <xf numFmtId="0" fontId="14" fillId="0" borderId="2" xfId="0" applyFont="1" applyBorder="1"/>
    <xf numFmtId="0" fontId="14" fillId="0" borderId="33" xfId="0" applyFont="1" applyBorder="1" applyAlignment="1">
      <alignment horizontal="center" wrapText="1"/>
    </xf>
    <xf numFmtId="0" fontId="11" fillId="0" borderId="33" xfId="281" applyFont="1" applyBorder="1" applyAlignment="1">
      <alignment horizontal="center" wrapText="1"/>
    </xf>
    <xf numFmtId="0" fontId="11" fillId="0" borderId="33" xfId="281" applyFont="1" applyBorder="1" applyAlignment="1">
      <alignment horizontal="center"/>
    </xf>
    <xf numFmtId="0" fontId="14" fillId="0" borderId="0" xfId="281" quotePrefix="1" applyAlignment="1">
      <alignment horizontal="left"/>
    </xf>
    <xf numFmtId="0" fontId="14" fillId="0" borderId="11" xfId="281" applyBorder="1"/>
    <xf numFmtId="0" fontId="14" fillId="0" borderId="14" xfId="0" applyFont="1" applyBorder="1" applyAlignment="1">
      <alignment horizontal="center"/>
    </xf>
    <xf numFmtId="173" fontId="14" fillId="0" borderId="43" xfId="88" applyNumberFormat="1" applyFont="1" applyBorder="1"/>
    <xf numFmtId="0" fontId="134" fillId="0" borderId="0" xfId="0" applyFont="1" applyAlignment="1">
      <alignment horizontal="center"/>
    </xf>
    <xf numFmtId="0" fontId="19" fillId="0" borderId="0" xfId="220" applyFont="1" applyAlignment="1">
      <alignment horizontal="left" vertical="center"/>
    </xf>
    <xf numFmtId="0" fontId="19" fillId="0" borderId="0" xfId="220" applyFont="1" applyAlignment="1">
      <alignment horizontal="center" vertical="center"/>
    </xf>
    <xf numFmtId="0" fontId="19" fillId="0" borderId="0" xfId="270" applyFont="1" applyAlignment="1">
      <alignment horizontal="center" vertical="center" wrapText="1"/>
    </xf>
    <xf numFmtId="0" fontId="19" fillId="0" borderId="0" xfId="220" quotePrefix="1" applyFont="1" applyAlignment="1">
      <alignment horizontal="center" vertical="center" wrapText="1"/>
    </xf>
    <xf numFmtId="0" fontId="19" fillId="0" borderId="0" xfId="220" applyFont="1" applyAlignment="1">
      <alignment horizontal="left"/>
    </xf>
    <xf numFmtId="173" fontId="0" fillId="0" borderId="0" xfId="112" applyNumberFormat="1" applyFont="1" applyFill="1"/>
    <xf numFmtId="3" fontId="14" fillId="0" borderId="0" xfId="220" applyNumberFormat="1" applyAlignment="1">
      <alignment horizontal="right"/>
    </xf>
    <xf numFmtId="3" fontId="14" fillId="32" borderId="0" xfId="220" applyNumberFormat="1" applyFill="1"/>
    <xf numFmtId="0" fontId="14" fillId="30" borderId="0" xfId="220" applyFill="1" applyProtection="1">
      <protection locked="0"/>
    </xf>
    <xf numFmtId="173" fontId="10" fillId="30" borderId="11" xfId="89" applyNumberFormat="1" applyFont="1" applyFill="1" applyBorder="1" applyAlignment="1" applyProtection="1">
      <alignment horizontal="right"/>
      <protection locked="0"/>
    </xf>
    <xf numFmtId="173" fontId="0" fillId="0" borderId="11" xfId="112" applyNumberFormat="1" applyFont="1" applyFill="1" applyBorder="1"/>
    <xf numFmtId="173" fontId="14" fillId="0" borderId="0" xfId="220" applyNumberFormat="1"/>
    <xf numFmtId="0" fontId="83" fillId="0" borderId="0" xfId="220" applyFont="1" applyAlignment="1">
      <alignment horizontal="center"/>
    </xf>
    <xf numFmtId="173" fontId="10" fillId="30" borderId="0" xfId="89" applyNumberFormat="1" applyFont="1" applyFill="1" applyBorder="1" applyAlignment="1" applyProtection="1">
      <alignment horizontal="left"/>
      <protection locked="0"/>
    </xf>
    <xf numFmtId="0" fontId="10" fillId="30" borderId="0" xfId="89" applyNumberFormat="1" applyFont="1" applyFill="1" applyBorder="1" applyAlignment="1" applyProtection="1">
      <alignment horizontal="center"/>
      <protection locked="0"/>
    </xf>
    <xf numFmtId="173" fontId="65" fillId="0" borderId="0" xfId="112" applyNumberFormat="1" applyFont="1" applyFill="1" applyAlignment="1" applyProtection="1">
      <alignment horizontal="left"/>
      <protection locked="0"/>
    </xf>
    <xf numFmtId="173" fontId="65" fillId="0" borderId="11" xfId="112" applyNumberFormat="1" applyFont="1" applyFill="1" applyBorder="1" applyAlignment="1" applyProtection="1">
      <alignment horizontal="left"/>
      <protection locked="0"/>
    </xf>
    <xf numFmtId="0" fontId="17" fillId="0" borderId="0" xfId="174" applyFont="1"/>
    <xf numFmtId="0" fontId="17" fillId="0" borderId="0" xfId="174" applyFont="1" applyAlignment="1">
      <alignment horizontal="center"/>
    </xf>
    <xf numFmtId="0" fontId="17" fillId="0" borderId="0" xfId="174" applyFont="1" applyAlignment="1">
      <alignment horizontal="right"/>
    </xf>
    <xf numFmtId="0" fontId="93" fillId="0" borderId="0" xfId="281" applyFont="1" applyAlignment="1">
      <alignment horizontal="centerContinuous"/>
    </xf>
    <xf numFmtId="0" fontId="17" fillId="0" borderId="0" xfId="281" applyFont="1" applyAlignment="1">
      <alignment horizontal="left"/>
    </xf>
    <xf numFmtId="0" fontId="93" fillId="0" borderId="0" xfId="281" applyFont="1" applyAlignment="1">
      <alignment horizontal="center"/>
    </xf>
    <xf numFmtId="0" fontId="14" fillId="0" borderId="39" xfId="174" applyBorder="1" applyAlignment="1">
      <alignment horizontal="center" wrapText="1"/>
    </xf>
    <xf numFmtId="0" fontId="11" fillId="0" borderId="44" xfId="281" applyFont="1" applyBorder="1" applyAlignment="1">
      <alignment horizontal="center" wrapText="1"/>
    </xf>
    <xf numFmtId="0" fontId="17" fillId="0" borderId="0" xfId="174" applyFont="1" applyAlignment="1">
      <alignment wrapText="1"/>
    </xf>
    <xf numFmtId="0" fontId="14" fillId="0" borderId="33" xfId="174" applyBorder="1" applyAlignment="1">
      <alignment horizontal="center"/>
    </xf>
    <xf numFmtId="0" fontId="11" fillId="0" borderId="10" xfId="281" applyFont="1" applyBorder="1" applyAlignment="1">
      <alignment horizontal="center"/>
    </xf>
    <xf numFmtId="0" fontId="136" fillId="0" borderId="0" xfId="174" applyFont="1"/>
    <xf numFmtId="3" fontId="26" fillId="0" borderId="40" xfId="220" applyNumberFormat="1" applyFont="1" applyBorder="1" applyAlignment="1">
      <alignment horizontal="center" wrapText="1"/>
    </xf>
    <xf numFmtId="3" fontId="26" fillId="0" borderId="45" xfId="220" applyNumberFormat="1" applyFont="1" applyBorder="1" applyAlignment="1">
      <alignment wrapText="1"/>
    </xf>
    <xf numFmtId="173" fontId="10" fillId="26" borderId="0" xfId="111" applyNumberFormat="1" applyFont="1" applyFill="1" applyAlignment="1" applyProtection="1">
      <protection locked="0"/>
    </xf>
    <xf numFmtId="41" fontId="14" fillId="0" borderId="10" xfId="281" applyNumberFormat="1" applyBorder="1"/>
    <xf numFmtId="0" fontId="14" fillId="0" borderId="40" xfId="174" applyBorder="1" applyAlignment="1">
      <alignment horizontal="center"/>
    </xf>
    <xf numFmtId="173" fontId="14" fillId="0" borderId="46" xfId="88" applyNumberFormat="1" applyFont="1" applyBorder="1"/>
    <xf numFmtId="3" fontId="26" fillId="0" borderId="45" xfId="220" applyNumberFormat="1" applyFont="1" applyBorder="1" applyAlignment="1">
      <alignment horizontal="center" wrapText="1"/>
    </xf>
    <xf numFmtId="173" fontId="10" fillId="30" borderId="0" xfId="88" applyNumberFormat="1" applyFont="1" applyFill="1" applyBorder="1" applyProtection="1">
      <protection locked="0"/>
    </xf>
    <xf numFmtId="0" fontId="14" fillId="0" borderId="16" xfId="174" applyBorder="1" applyAlignment="1">
      <alignment horizontal="center"/>
    </xf>
    <xf numFmtId="0" fontId="17" fillId="0" borderId="0" xfId="281" applyFont="1"/>
    <xf numFmtId="37" fontId="17" fillId="0" borderId="0" xfId="281" applyNumberFormat="1" applyFont="1"/>
    <xf numFmtId="172" fontId="17" fillId="0" borderId="0" xfId="274" applyFont="1"/>
    <xf numFmtId="0" fontId="14" fillId="0" borderId="0" xfId="271" applyAlignment="1">
      <alignment vertical="top"/>
    </xf>
    <xf numFmtId="0" fontId="14" fillId="0" borderId="0" xfId="174" applyAlignment="1">
      <alignment vertical="top" wrapText="1"/>
    </xf>
    <xf numFmtId="0" fontId="136" fillId="0" borderId="0" xfId="174" applyFont="1" applyAlignment="1">
      <alignment horizontal="center"/>
    </xf>
    <xf numFmtId="0" fontId="92" fillId="0" borderId="0" xfId="272" applyFont="1"/>
    <xf numFmtId="0" fontId="93" fillId="0" borderId="0" xfId="174" applyFont="1" applyAlignment="1">
      <alignment horizontal="center"/>
    </xf>
    <xf numFmtId="0" fontId="93" fillId="0" borderId="0" xfId="174" quotePrefix="1" applyFont="1" applyAlignment="1">
      <alignment horizontal="center"/>
    </xf>
    <xf numFmtId="0" fontId="11" fillId="0" borderId="0" xfId="272" applyFont="1" applyAlignment="1">
      <alignment horizontal="left"/>
    </xf>
    <xf numFmtId="173" fontId="14" fillId="0" borderId="0" xfId="88" applyNumberFormat="1" applyFont="1" applyFill="1" applyProtection="1"/>
    <xf numFmtId="0" fontId="14" fillId="0" borderId="0" xfId="272"/>
    <xf numFmtId="0" fontId="14" fillId="0" borderId="0" xfId="194"/>
    <xf numFmtId="0" fontId="14" fillId="0" borderId="0" xfId="272" applyAlignment="1">
      <alignment horizontal="left"/>
    </xf>
    <xf numFmtId="173" fontId="10" fillId="30" borderId="0" xfId="88" applyNumberFormat="1" applyFont="1" applyFill="1" applyProtection="1">
      <protection locked="0"/>
    </xf>
    <xf numFmtId="10" fontId="14" fillId="0" borderId="0" xfId="290" applyNumberFormat="1" applyFont="1" applyFill="1" applyBorder="1" applyProtection="1"/>
    <xf numFmtId="173" fontId="10" fillId="26" borderId="6" xfId="88" applyNumberFormat="1" applyFont="1" applyFill="1" applyBorder="1" applyAlignment="1" applyProtection="1">
      <protection locked="0"/>
    </xf>
    <xf numFmtId="10" fontId="11" fillId="0" borderId="0" xfId="290" applyNumberFormat="1" applyFont="1" applyFill="1" applyBorder="1" applyProtection="1"/>
    <xf numFmtId="0" fontId="11" fillId="0" borderId="0" xfId="272" applyFont="1"/>
    <xf numFmtId="173" fontId="11" fillId="0" borderId="0" xfId="290" applyNumberFormat="1" applyFont="1" applyFill="1" applyBorder="1" applyProtection="1"/>
    <xf numFmtId="173" fontId="14" fillId="0" borderId="0" xfId="290" applyNumberFormat="1" applyFont="1" applyFill="1" applyBorder="1" applyProtection="1"/>
    <xf numFmtId="10" fontId="11" fillId="0" borderId="18" xfId="290" applyNumberFormat="1" applyFont="1" applyFill="1" applyBorder="1" applyProtection="1"/>
    <xf numFmtId="0" fontId="102" fillId="0" borderId="0" xfId="194" applyFont="1" applyAlignment="1">
      <alignment horizontal="center"/>
    </xf>
    <xf numFmtId="0" fontId="14" fillId="0" borderId="0" xfId="277" applyNumberFormat="1" applyFont="1" applyAlignment="1" applyProtection="1">
      <alignment horizontal="center" vertical="center"/>
    </xf>
    <xf numFmtId="0" fontId="137" fillId="0" borderId="0" xfId="194" applyFont="1"/>
    <xf numFmtId="0" fontId="14" fillId="0" borderId="0" xfId="277" applyNumberFormat="1" applyFont="1" applyAlignment="1" applyProtection="1">
      <alignment horizontal="center" vertical="top"/>
    </xf>
    <xf numFmtId="0" fontId="65" fillId="0" borderId="0" xfId="194" applyFont="1" applyAlignment="1">
      <alignment vertical="top" wrapText="1"/>
    </xf>
    <xf numFmtId="0" fontId="11" fillId="0" borderId="0" xfId="277" applyNumberFormat="1" applyFont="1" applyAlignment="1" applyProtection="1">
      <alignment horizontal="center" vertical="center"/>
    </xf>
    <xf numFmtId="0" fontId="24" fillId="0" borderId="0" xfId="194" applyFont="1"/>
    <xf numFmtId="41" fontId="11" fillId="0" borderId="0" xfId="272" applyNumberFormat="1" applyFont="1" applyAlignment="1">
      <alignment horizontal="center" wrapText="1"/>
    </xf>
    <xf numFmtId="0" fontId="11" fillId="0" borderId="0" xfId="272" applyFont="1" applyAlignment="1">
      <alignment horizontal="center" wrapText="1"/>
    </xf>
    <xf numFmtId="0" fontId="10" fillId="26" borderId="0" xfId="272" applyFont="1" applyFill="1" applyProtection="1">
      <protection locked="0"/>
    </xf>
    <xf numFmtId="173" fontId="138" fillId="26" borderId="0" xfId="88" applyNumberFormat="1" applyFont="1" applyFill="1" applyProtection="1">
      <protection locked="0"/>
    </xf>
    <xf numFmtId="195" fontId="14" fillId="0" borderId="0" xfId="279" applyNumberFormat="1" applyAlignment="1" applyProtection="1">
      <alignment horizontal="center"/>
      <protection locked="0"/>
    </xf>
    <xf numFmtId="37" fontId="10" fillId="26" borderId="0" xfId="272" applyNumberFormat="1" applyFont="1" applyFill="1" applyProtection="1">
      <protection locked="0"/>
    </xf>
    <xf numFmtId="0" fontId="138" fillId="26" borderId="0" xfId="272" applyFont="1" applyFill="1" applyProtection="1">
      <protection locked="0"/>
    </xf>
    <xf numFmtId="196" fontId="14" fillId="0" borderId="0" xfId="279" applyNumberFormat="1" applyAlignment="1" applyProtection="1">
      <alignment horizontal="center"/>
      <protection locked="0"/>
    </xf>
    <xf numFmtId="14" fontId="14" fillId="0" borderId="0" xfId="279" applyNumberFormat="1" applyAlignment="1" applyProtection="1">
      <alignment horizontal="center"/>
      <protection locked="0"/>
    </xf>
    <xf numFmtId="0" fontId="14" fillId="0" borderId="11" xfId="194" applyBorder="1"/>
    <xf numFmtId="0" fontId="17" fillId="0" borderId="11" xfId="272" applyFont="1" applyBorder="1"/>
    <xf numFmtId="0" fontId="11" fillId="0" borderId="2" xfId="272" applyFont="1" applyBorder="1" applyAlignment="1">
      <alignment horizontal="left"/>
    </xf>
    <xf numFmtId="173" fontId="14" fillId="0" borderId="2" xfId="290" applyNumberFormat="1" applyFont="1" applyFill="1" applyBorder="1" applyProtection="1"/>
    <xf numFmtId="173" fontId="11" fillId="0" borderId="0" xfId="88" applyNumberFormat="1" applyFont="1" applyFill="1" applyBorder="1" applyProtection="1"/>
    <xf numFmtId="0" fontId="92" fillId="0" borderId="0" xfId="272" applyFont="1" applyAlignment="1">
      <alignment horizontal="left"/>
    </xf>
    <xf numFmtId="0" fontId="14" fillId="0" borderId="0" xfId="277" applyNumberFormat="1" applyFont="1" applyAlignment="1" applyProtection="1">
      <alignment horizontal="center" wrapText="1"/>
    </xf>
    <xf numFmtId="173" fontId="17" fillId="0" borderId="0" xfId="174" applyNumberFormat="1" applyFont="1"/>
    <xf numFmtId="0" fontId="17" fillId="0" borderId="2" xfId="174" applyFont="1" applyBorder="1"/>
    <xf numFmtId="187" fontId="7" fillId="0" borderId="0" xfId="277" applyNumberFormat="1" applyFont="1" applyAlignment="1" applyProtection="1">
      <alignment horizontal="center"/>
    </xf>
    <xf numFmtId="41" fontId="7" fillId="0" borderId="11" xfId="277" applyNumberFormat="1" applyFont="1" applyBorder="1" applyProtection="1"/>
    <xf numFmtId="0" fontId="7" fillId="0" borderId="0" xfId="174" applyFont="1" applyAlignment="1">
      <alignment horizontal="center"/>
    </xf>
    <xf numFmtId="0" fontId="65" fillId="0" borderId="0" xfId="174" applyFont="1"/>
    <xf numFmtId="0" fontId="7" fillId="0" borderId="0" xfId="174" applyFont="1"/>
    <xf numFmtId="173" fontId="7" fillId="32" borderId="0" xfId="86" applyNumberFormat="1" applyFont="1" applyFill="1" applyAlignment="1" applyProtection="1">
      <alignment horizontal="right"/>
    </xf>
    <xf numFmtId="178" fontId="7" fillId="0" borderId="0" xfId="277" applyNumberFormat="1" applyFont="1" applyAlignment="1" applyProtection="1">
      <alignment horizontal="center"/>
    </xf>
    <xf numFmtId="0" fontId="14" fillId="0" borderId="0" xfId="0" applyFont="1" applyAlignment="1">
      <alignment horizontal="left"/>
    </xf>
    <xf numFmtId="0" fontId="15" fillId="0" borderId="0" xfId="0" applyFont="1" applyAlignment="1">
      <alignment horizontal="left"/>
    </xf>
    <xf numFmtId="0" fontId="11" fillId="0" borderId="0" xfId="283" applyFont="1"/>
    <xf numFmtId="0" fontId="14" fillId="0" borderId="0" xfId="283" applyFont="1"/>
    <xf numFmtId="0" fontId="14" fillId="0" borderId="0" xfId="0" applyFont="1" applyAlignment="1">
      <alignment vertical="top"/>
    </xf>
    <xf numFmtId="41" fontId="21" fillId="0" borderId="0" xfId="270" applyNumberFormat="1" applyFont="1" applyProtection="1">
      <protection locked="0"/>
    </xf>
    <xf numFmtId="0" fontId="8" fillId="0" borderId="0" xfId="270" applyFont="1"/>
    <xf numFmtId="0" fontId="75" fillId="0" borderId="0" xfId="278" applyFont="1" applyAlignment="1">
      <alignment wrapText="1"/>
    </xf>
    <xf numFmtId="0" fontId="8" fillId="0" borderId="0" xfId="271" applyFont="1" applyAlignment="1">
      <alignment horizontal="center"/>
    </xf>
    <xf numFmtId="0" fontId="8" fillId="0" borderId="0" xfId="271" quotePrefix="1" applyFont="1" applyAlignment="1">
      <alignment horizontal="center"/>
    </xf>
    <xf numFmtId="0" fontId="8" fillId="0" borderId="0" xfId="271" applyFont="1" applyAlignment="1">
      <alignment horizontal="left" vertical="center" wrapText="1"/>
    </xf>
    <xf numFmtId="0" fontId="8" fillId="0" borderId="0" xfId="271" applyFont="1" applyAlignment="1">
      <alignment horizontal="center" vertical="center" wrapText="1"/>
    </xf>
    <xf numFmtId="0" fontId="8" fillId="0" borderId="0" xfId="271" quotePrefix="1" applyFont="1" applyAlignment="1">
      <alignment horizontal="center" vertical="center" wrapText="1"/>
    </xf>
    <xf numFmtId="0" fontId="14" fillId="0" borderId="0" xfId="273" applyAlignment="1">
      <alignment horizontal="left"/>
    </xf>
    <xf numFmtId="0" fontId="140" fillId="0" borderId="0" xfId="0" applyFont="1" applyAlignment="1">
      <alignment vertical="center"/>
    </xf>
    <xf numFmtId="0" fontId="141" fillId="0" borderId="0" xfId="220" applyFont="1"/>
    <xf numFmtId="0" fontId="142" fillId="0" borderId="0" xfId="220" applyFont="1" applyAlignment="1">
      <alignment horizontal="center"/>
    </xf>
    <xf numFmtId="3" fontId="143" fillId="0" borderId="0" xfId="220" applyNumberFormat="1" applyFont="1" applyAlignment="1">
      <alignment horizontal="center"/>
    </xf>
    <xf numFmtId="0" fontId="141" fillId="0" borderId="0" xfId="0" applyFont="1"/>
    <xf numFmtId="0" fontId="144" fillId="0" borderId="0" xfId="220" applyFont="1"/>
    <xf numFmtId="0" fontId="143" fillId="0" borderId="0" xfId="220" applyFont="1" applyAlignment="1">
      <alignment horizontal="center"/>
    </xf>
    <xf numFmtId="0" fontId="142" fillId="0" borderId="0" xfId="219" applyFont="1"/>
    <xf numFmtId="0" fontId="142" fillId="0" borderId="0" xfId="220" applyFont="1"/>
    <xf numFmtId="0" fontId="145" fillId="0" borderId="0" xfId="220" applyFont="1" applyAlignment="1">
      <alignment horizontal="left"/>
    </xf>
    <xf numFmtId="0" fontId="145" fillId="0" borderId="0" xfId="220" applyFont="1"/>
    <xf numFmtId="3" fontId="142" fillId="0" borderId="0" xfId="220" applyNumberFormat="1" applyFont="1"/>
    <xf numFmtId="1" fontId="146" fillId="0" borderId="0" xfId="220" applyNumberFormat="1" applyFont="1" applyAlignment="1">
      <alignment horizontal="center"/>
    </xf>
    <xf numFmtId="172" fontId="142" fillId="0" borderId="0" xfId="276" applyFont="1" applyProtection="1"/>
    <xf numFmtId="6" fontId="141" fillId="0" borderId="0" xfId="220" applyNumberFormat="1" applyFont="1"/>
    <xf numFmtId="170" fontId="142" fillId="0" borderId="0" xfId="276" applyNumberFormat="1" applyFont="1" applyAlignment="1" applyProtection="1">
      <alignment horizontal="right"/>
    </xf>
    <xf numFmtId="171" fontId="142" fillId="0" borderId="0" xfId="276" applyNumberFormat="1" applyFont="1" applyProtection="1"/>
    <xf numFmtId="0" fontId="147" fillId="0" borderId="0" xfId="220" applyFont="1"/>
    <xf numFmtId="3" fontId="146" fillId="30" borderId="0" xfId="114" applyNumberFormat="1" applyFont="1" applyFill="1" applyBorder="1" applyAlignment="1" applyProtection="1">
      <alignment horizontal="right"/>
      <protection locked="0"/>
    </xf>
    <xf numFmtId="170" fontId="142" fillId="0" borderId="0" xfId="276" applyNumberFormat="1" applyFont="1" applyProtection="1"/>
    <xf numFmtId="0" fontId="142" fillId="0" borderId="0" xfId="0" applyFont="1"/>
    <xf numFmtId="170" fontId="146" fillId="30" borderId="0" xfId="0" applyNumberFormat="1" applyFont="1" applyFill="1" applyAlignment="1" applyProtection="1">
      <alignment horizontal="right"/>
      <protection locked="0"/>
    </xf>
    <xf numFmtId="0" fontId="142" fillId="0" borderId="6" xfId="220" applyFont="1" applyBorder="1" applyAlignment="1">
      <alignment horizontal="center"/>
    </xf>
    <xf numFmtId="0" fontId="142" fillId="0" borderId="6" xfId="0" applyFont="1" applyBorder="1"/>
    <xf numFmtId="172" fontId="142" fillId="0" borderId="6" xfId="276" applyFont="1" applyBorder="1" applyProtection="1"/>
    <xf numFmtId="170" fontId="146" fillId="30" borderId="6" xfId="0" applyNumberFormat="1" applyFont="1" applyFill="1" applyBorder="1" applyAlignment="1" applyProtection="1">
      <alignment horizontal="right"/>
      <protection locked="0"/>
    </xf>
    <xf numFmtId="170" fontId="142" fillId="0" borderId="0" xfId="0" applyNumberFormat="1" applyFont="1"/>
    <xf numFmtId="170" fontId="142" fillId="0" borderId="0" xfId="220" applyNumberFormat="1" applyFont="1"/>
    <xf numFmtId="0" fontId="7" fillId="0" borderId="0" xfId="277" applyNumberFormat="1" applyFont="1" applyAlignment="1" applyProtection="1">
      <alignment horizontal="left" indent="2"/>
    </xf>
    <xf numFmtId="173" fontId="10" fillId="30" borderId="0" xfId="112" applyNumberFormat="1" applyFont="1" applyFill="1" applyAlignment="1" applyProtection="1">
      <protection locked="0"/>
    </xf>
    <xf numFmtId="0" fontId="7" fillId="30" borderId="0" xfId="0" applyFont="1" applyFill="1" applyAlignment="1" applyProtection="1">
      <alignment horizontal="center"/>
      <protection locked="0"/>
    </xf>
    <xf numFmtId="0" fontId="157" fillId="30" borderId="0" xfId="0" applyFont="1" applyFill="1" applyAlignment="1" applyProtection="1">
      <alignment horizontal="left" vertical="top"/>
      <protection locked="0"/>
    </xf>
    <xf numFmtId="0" fontId="14" fillId="34" borderId="30" xfId="0" applyFont="1" applyFill="1" applyBorder="1" applyAlignment="1">
      <alignment horizontal="center"/>
    </xf>
    <xf numFmtId="173" fontId="154" fillId="30" borderId="20" xfId="116" applyNumberFormat="1" applyFont="1" applyFill="1" applyBorder="1" applyAlignment="1" applyProtection="1">
      <alignment horizontal="right"/>
      <protection locked="0"/>
    </xf>
    <xf numFmtId="173" fontId="10" fillId="30" borderId="20" xfId="116" applyNumberFormat="1" applyFont="1" applyFill="1" applyBorder="1" applyAlignment="1" applyProtection="1">
      <alignment horizontal="right"/>
      <protection locked="0"/>
    </xf>
    <xf numFmtId="177" fontId="8" fillId="0" borderId="0" xfId="277" applyNumberFormat="1" applyFont="1" applyProtection="1"/>
    <xf numFmtId="0" fontId="124" fillId="0" borderId="0" xfId="0" applyFont="1" applyAlignment="1">
      <alignment wrapText="1"/>
    </xf>
    <xf numFmtId="0" fontId="108" fillId="0" borderId="39" xfId="280" applyFont="1" applyBorder="1"/>
    <xf numFmtId="0" fontId="84" fillId="0" borderId="2" xfId="280" applyFont="1" applyBorder="1" applyAlignment="1">
      <alignment horizontal="center"/>
    </xf>
    <xf numFmtId="0" fontId="5" fillId="0" borderId="40" xfId="280" applyBorder="1"/>
    <xf numFmtId="10" fontId="5" fillId="0" borderId="11" xfId="302" applyNumberFormat="1" applyFont="1" applyBorder="1" applyAlignment="1" applyProtection="1">
      <alignment horizontal="center"/>
    </xf>
    <xf numFmtId="10" fontId="79" fillId="0" borderId="35" xfId="302" applyNumberFormat="1" applyFont="1" applyBorder="1" applyAlignment="1" applyProtection="1">
      <alignment horizontal="center"/>
    </xf>
    <xf numFmtId="0" fontId="14" fillId="32" borderId="30" xfId="0" applyFont="1" applyFill="1" applyBorder="1" applyAlignment="1">
      <alignment horizontal="center"/>
    </xf>
    <xf numFmtId="41" fontId="10" fillId="30" borderId="0" xfId="270" applyNumberFormat="1" applyFont="1" applyFill="1" applyProtection="1">
      <protection locked="0"/>
    </xf>
    <xf numFmtId="10" fontId="7" fillId="0" borderId="0" xfId="290" applyNumberFormat="1" applyFont="1" applyFill="1" applyAlignment="1" applyProtection="1"/>
    <xf numFmtId="0" fontId="10" fillId="30" borderId="22" xfId="0" applyFont="1" applyFill="1" applyBorder="1" applyAlignment="1" applyProtection="1">
      <alignment horizontal="right"/>
      <protection locked="0"/>
    </xf>
    <xf numFmtId="173" fontId="14" fillId="32" borderId="0" xfId="0" applyNumberFormat="1" applyFont="1" applyFill="1"/>
    <xf numFmtId="171" fontId="142" fillId="34" borderId="0" xfId="276" applyNumberFormat="1" applyFont="1" applyFill="1" applyProtection="1">
      <protection locked="0"/>
    </xf>
    <xf numFmtId="0" fontId="65" fillId="26" borderId="0" xfId="174" applyFont="1" applyFill="1" applyAlignment="1" applyProtection="1">
      <alignment horizontal="left"/>
      <protection locked="0"/>
    </xf>
    <xf numFmtId="0" fontId="127" fillId="26" borderId="0" xfId="174" applyFont="1" applyFill="1" applyProtection="1">
      <protection locked="0"/>
    </xf>
    <xf numFmtId="37" fontId="10" fillId="26" borderId="0" xfId="174" applyNumberFormat="1" applyFont="1" applyFill="1" applyProtection="1">
      <protection locked="0"/>
    </xf>
    <xf numFmtId="173" fontId="14" fillId="0" borderId="0" xfId="88" applyNumberFormat="1" applyProtection="1"/>
    <xf numFmtId="173" fontId="14" fillId="0" borderId="0" xfId="88" applyNumberFormat="1" applyFill="1" applyProtection="1"/>
    <xf numFmtId="3" fontId="127" fillId="26" borderId="0" xfId="174" applyNumberFormat="1" applyFont="1" applyFill="1" applyProtection="1">
      <protection locked="0"/>
    </xf>
    <xf numFmtId="0" fontId="0" fillId="32" borderId="0" xfId="0" applyFill="1"/>
    <xf numFmtId="10" fontId="7" fillId="32" borderId="0" xfId="277" applyNumberFormat="1" applyFont="1" applyFill="1" applyProtection="1"/>
    <xf numFmtId="0" fontId="80" fillId="30" borderId="0" xfId="86" applyNumberFormat="1" applyFont="1" applyFill="1" applyBorder="1" applyProtection="1">
      <protection locked="0"/>
    </xf>
    <xf numFmtId="0" fontId="14" fillId="0" borderId="0" xfId="86" applyNumberFormat="1" applyFont="1"/>
    <xf numFmtId="10" fontId="80" fillId="30" borderId="0" xfId="289" applyNumberFormat="1" applyFont="1" applyFill="1" applyBorder="1" applyProtection="1">
      <protection locked="0"/>
    </xf>
    <xf numFmtId="0" fontId="26" fillId="0" borderId="0" xfId="223" applyFont="1"/>
    <xf numFmtId="0" fontId="26" fillId="0" borderId="0" xfId="223" applyFont="1" applyAlignment="1">
      <alignment horizontal="center"/>
    </xf>
    <xf numFmtId="0" fontId="14" fillId="0" borderId="0" xfId="223" applyFont="1" applyAlignment="1">
      <alignment horizontal="right"/>
    </xf>
    <xf numFmtId="14" fontId="26" fillId="0" borderId="0" xfId="223" applyNumberFormat="1" applyFont="1"/>
    <xf numFmtId="0" fontId="26" fillId="0" borderId="0" xfId="174" applyFont="1"/>
    <xf numFmtId="9" fontId="26" fillId="0" borderId="0" xfId="289" applyFont="1"/>
    <xf numFmtId="41" fontId="26" fillId="0" borderId="0" xfId="223" applyNumberFormat="1" applyFont="1"/>
    <xf numFmtId="10" fontId="26" fillId="0" borderId="0" xfId="291" applyNumberFormat="1" applyFont="1"/>
    <xf numFmtId="0" fontId="26" fillId="0" borderId="0" xfId="0" applyFont="1"/>
    <xf numFmtId="0" fontId="27" fillId="0" borderId="0" xfId="223" applyFont="1" applyAlignment="1">
      <alignment horizontal="center"/>
    </xf>
    <xf numFmtId="0" fontId="27" fillId="0" borderId="0" xfId="223" applyFont="1" applyAlignment="1">
      <alignment horizontal="center" wrapText="1"/>
    </xf>
    <xf numFmtId="0" fontId="27" fillId="0" borderId="0" xfId="223" applyFont="1" applyAlignment="1">
      <alignment horizontal="left"/>
    </xf>
    <xf numFmtId="0" fontId="26" fillId="35" borderId="0" xfId="223" applyFont="1" applyFill="1"/>
    <xf numFmtId="49" fontId="26" fillId="0" borderId="0" xfId="223" applyNumberFormat="1" applyFont="1" applyAlignment="1">
      <alignment horizontal="center"/>
    </xf>
    <xf numFmtId="41" fontId="26" fillId="30" borderId="12" xfId="271" applyNumberFormat="1" applyFont="1" applyFill="1" applyBorder="1" applyProtection="1">
      <protection locked="0"/>
    </xf>
    <xf numFmtId="173" fontId="26" fillId="36" borderId="12" xfId="117" applyNumberFormat="1" applyFont="1" applyFill="1" applyBorder="1"/>
    <xf numFmtId="173" fontId="26" fillId="0" borderId="47" xfId="117" applyNumberFormat="1" applyFont="1" applyFill="1" applyBorder="1"/>
    <xf numFmtId="173" fontId="26" fillId="0" borderId="12" xfId="117" applyNumberFormat="1" applyFont="1" applyFill="1" applyBorder="1"/>
    <xf numFmtId="41" fontId="26" fillId="30" borderId="0" xfId="271" applyNumberFormat="1" applyFont="1" applyFill="1" applyProtection="1">
      <protection locked="0"/>
    </xf>
    <xf numFmtId="41" fontId="26" fillId="0" borderId="0" xfId="223" applyNumberFormat="1" applyFont="1" applyAlignment="1">
      <alignment horizontal="center"/>
    </xf>
    <xf numFmtId="0" fontId="27" fillId="0" borderId="0" xfId="223" applyFont="1"/>
    <xf numFmtId="173" fontId="26" fillId="36" borderId="47" xfId="117" applyNumberFormat="1" applyFont="1" applyFill="1" applyBorder="1"/>
    <xf numFmtId="41" fontId="26" fillId="0" borderId="12" xfId="174" applyNumberFormat="1" applyFont="1" applyBorder="1"/>
    <xf numFmtId="173" fontId="26" fillId="0" borderId="0" xfId="86" applyNumberFormat="1" applyFont="1" applyBorder="1" applyAlignment="1">
      <alignment horizontal="center"/>
    </xf>
    <xf numFmtId="41" fontId="26" fillId="30" borderId="33" xfId="271" applyNumberFormat="1" applyFont="1" applyFill="1" applyBorder="1" applyAlignment="1" applyProtection="1">
      <alignment vertical="top"/>
      <protection locked="0"/>
    </xf>
    <xf numFmtId="0" fontId="26" fillId="0" borderId="0" xfId="223" applyFont="1" applyAlignment="1">
      <alignment wrapText="1"/>
    </xf>
    <xf numFmtId="173" fontId="26" fillId="36" borderId="0" xfId="117" applyNumberFormat="1" applyFont="1" applyFill="1" applyBorder="1"/>
    <xf numFmtId="173" fontId="26" fillId="0" borderId="0" xfId="117" applyNumberFormat="1" applyFont="1" applyFill="1" applyBorder="1"/>
    <xf numFmtId="173" fontId="26" fillId="0" borderId="0" xfId="117" applyNumberFormat="1" applyFont="1" applyBorder="1" applyAlignment="1">
      <alignment wrapText="1"/>
    </xf>
    <xf numFmtId="0" fontId="26" fillId="0" borderId="0" xfId="223" applyFont="1" applyAlignment="1">
      <alignment horizontal="left"/>
    </xf>
    <xf numFmtId="173" fontId="26" fillId="0" borderId="14" xfId="86" applyNumberFormat="1" applyFont="1" applyBorder="1" applyAlignment="1"/>
    <xf numFmtId="176" fontId="26" fillId="0" borderId="14" xfId="86" applyNumberFormat="1" applyFont="1" applyBorder="1" applyAlignment="1"/>
    <xf numFmtId="173" fontId="26" fillId="0" borderId="0" xfId="117" applyNumberFormat="1" applyFont="1" applyAlignment="1">
      <alignment wrapText="1"/>
    </xf>
    <xf numFmtId="1" fontId="26" fillId="0" borderId="0" xfId="86" applyNumberFormat="1" applyFont="1" applyBorder="1" applyAlignment="1"/>
    <xf numFmtId="176" fontId="26" fillId="0" borderId="0" xfId="86" applyNumberFormat="1" applyFont="1" applyBorder="1" applyAlignment="1"/>
    <xf numFmtId="173" fontId="26" fillId="0" borderId="1" xfId="86" applyNumberFormat="1" applyFont="1" applyBorder="1" applyAlignment="1">
      <alignment horizontal="center"/>
    </xf>
    <xf numFmtId="173" fontId="26" fillId="0" borderId="0" xfId="86" applyNumberFormat="1" applyFont="1" applyBorder="1" applyAlignment="1"/>
    <xf numFmtId="0" fontId="26" fillId="0" borderId="0" xfId="223" applyFont="1" applyAlignment="1">
      <alignment horizontal="left" vertical="center"/>
    </xf>
    <xf numFmtId="0" fontId="26" fillId="0" borderId="0" xfId="223" applyFont="1" applyAlignment="1">
      <alignment vertical="top" wrapText="1"/>
    </xf>
    <xf numFmtId="173" fontId="26" fillId="0" borderId="0" xfId="223" applyNumberFormat="1" applyFont="1"/>
    <xf numFmtId="0" fontId="27" fillId="0" borderId="0" xfId="223" applyFont="1" applyAlignment="1">
      <alignment horizontal="left" vertical="center"/>
    </xf>
    <xf numFmtId="173" fontId="26" fillId="0" borderId="0" xfId="223" applyNumberFormat="1" applyFont="1" applyAlignment="1">
      <alignment horizontal="left" vertical="center"/>
    </xf>
    <xf numFmtId="173" fontId="7" fillId="0" borderId="0" xfId="277" applyNumberFormat="1" applyFont="1" applyProtection="1"/>
    <xf numFmtId="41" fontId="26" fillId="30" borderId="33" xfId="271" applyNumberFormat="1" applyFont="1" applyFill="1" applyBorder="1" applyAlignment="1" applyProtection="1">
      <alignment vertical="center" wrapText="1"/>
      <protection locked="0"/>
    </xf>
    <xf numFmtId="3" fontId="4" fillId="0" borderId="40" xfId="220" applyNumberFormat="1" applyFont="1" applyBorder="1" applyAlignment="1">
      <alignment horizontal="center" wrapText="1"/>
    </xf>
    <xf numFmtId="3" fontId="4" fillId="0" borderId="11" xfId="220" applyNumberFormat="1" applyFont="1" applyBorder="1" applyAlignment="1">
      <alignment horizontal="center" wrapText="1"/>
    </xf>
    <xf numFmtId="41" fontId="10" fillId="33" borderId="0" xfId="271" applyNumberFormat="1" applyFont="1" applyFill="1" applyProtection="1">
      <protection locked="0"/>
    </xf>
    <xf numFmtId="37" fontId="0" fillId="33" borderId="0" xfId="0" applyNumberFormat="1" applyFill="1"/>
    <xf numFmtId="37" fontId="0" fillId="0" borderId="0" xfId="0" applyNumberFormat="1"/>
    <xf numFmtId="49" fontId="4" fillId="0" borderId="0" xfId="360" applyNumberFormat="1" applyFont="1"/>
    <xf numFmtId="172" fontId="4" fillId="0" borderId="0" xfId="360" applyFont="1"/>
    <xf numFmtId="172" fontId="7" fillId="0" borderId="0" xfId="360" applyFont="1" applyAlignment="1">
      <alignment horizontal="right"/>
    </xf>
    <xf numFmtId="0" fontId="26" fillId="0" borderId="0" xfId="361" applyFont="1" applyAlignment="1">
      <alignment horizontal="right"/>
    </xf>
    <xf numFmtId="173" fontId="4" fillId="0" borderId="0" xfId="362" applyNumberFormat="1" applyFont="1"/>
    <xf numFmtId="0" fontId="4" fillId="0" borderId="0" xfId="361" applyFont="1"/>
    <xf numFmtId="0" fontId="4" fillId="0" borderId="0" xfId="361" applyFont="1" applyAlignment="1">
      <alignment horizontal="right"/>
    </xf>
    <xf numFmtId="41" fontId="11" fillId="0" borderId="0" xfId="363" applyNumberFormat="1" applyFont="1" applyAlignment="1" applyProtection="1">
      <alignment horizontal="center"/>
      <protection locked="0"/>
    </xf>
    <xf numFmtId="41" fontId="4" fillId="0" borderId="0" xfId="363" applyNumberFormat="1" applyAlignment="1" applyProtection="1">
      <alignment horizontal="center"/>
      <protection locked="0"/>
    </xf>
    <xf numFmtId="2" fontId="4" fillId="0" borderId="0" xfId="360" applyNumberFormat="1" applyFont="1" applyAlignment="1">
      <alignment horizontal="center"/>
    </xf>
    <xf numFmtId="172" fontId="4" fillId="0" borderId="0" xfId="360" applyFont="1" applyAlignment="1">
      <alignment horizontal="center"/>
    </xf>
    <xf numFmtId="2" fontId="4" fillId="0" borderId="0" xfId="360" applyNumberFormat="1" applyFont="1"/>
    <xf numFmtId="172" fontId="4" fillId="0" borderId="0" xfId="360" applyFont="1" applyAlignment="1">
      <alignment wrapText="1"/>
    </xf>
    <xf numFmtId="172" fontId="4" fillId="0" borderId="0" xfId="360" applyFont="1" applyAlignment="1">
      <alignment horizontal="center" wrapText="1"/>
    </xf>
    <xf numFmtId="172" fontId="5" fillId="0" borderId="0" xfId="360"/>
    <xf numFmtId="173" fontId="4" fillId="0" borderId="0" xfId="362" applyNumberFormat="1" applyFont="1" applyFill="1"/>
    <xf numFmtId="49" fontId="4" fillId="0" borderId="0" xfId="362" applyNumberFormat="1" applyFont="1"/>
    <xf numFmtId="43" fontId="0" fillId="0" borderId="0" xfId="362" applyFont="1" applyFill="1"/>
    <xf numFmtId="9" fontId="0" fillId="0" borderId="0" xfId="364" applyFont="1" applyFill="1"/>
    <xf numFmtId="10" fontId="4" fillId="0" borderId="0" xfId="364" applyNumberFormat="1" applyFont="1" applyFill="1" applyAlignment="1"/>
    <xf numFmtId="9" fontId="4" fillId="0" borderId="0" xfId="364" applyFont="1" applyFill="1"/>
    <xf numFmtId="1" fontId="4" fillId="0" borderId="0" xfId="360" applyNumberFormat="1" applyFont="1" applyAlignment="1">
      <alignment horizontal="center"/>
    </xf>
    <xf numFmtId="9" fontId="4" fillId="0" borderId="0" xfId="364" applyFont="1" applyFill="1" applyAlignment="1">
      <alignment wrapText="1"/>
    </xf>
    <xf numFmtId="173" fontId="103" fillId="0" borderId="0" xfId="362" applyNumberFormat="1" applyFont="1"/>
    <xf numFmtId="8" fontId="4" fillId="0" borderId="0" xfId="364" applyNumberFormat="1" applyFont="1" applyFill="1"/>
    <xf numFmtId="197" fontId="0" fillId="0" borderId="0" xfId="362" applyNumberFormat="1" applyFont="1" applyFill="1"/>
    <xf numFmtId="9" fontId="0" fillId="0" borderId="0" xfId="364" applyFont="1" applyFill="1" applyAlignment="1">
      <alignment horizontal="center"/>
    </xf>
    <xf numFmtId="43" fontId="4" fillId="0" borderId="0" xfId="362" applyFont="1" applyFill="1"/>
    <xf numFmtId="173" fontId="4" fillId="0" borderId="13" xfId="362" applyNumberFormat="1" applyFont="1" applyBorder="1"/>
    <xf numFmtId="173" fontId="4" fillId="0" borderId="13" xfId="362" applyNumberFormat="1" applyFont="1" applyFill="1" applyBorder="1"/>
    <xf numFmtId="173" fontId="4" fillId="0" borderId="0" xfId="362" applyNumberFormat="1" applyFont="1" applyFill="1" applyBorder="1"/>
    <xf numFmtId="10" fontId="4" fillId="0" borderId="0" xfId="292" applyNumberFormat="1" applyFont="1"/>
    <xf numFmtId="9" fontId="4" fillId="0" borderId="0" xfId="364" applyFont="1"/>
    <xf numFmtId="9" fontId="4" fillId="0" borderId="0" xfId="292" applyFont="1"/>
    <xf numFmtId="172" fontId="4" fillId="0" borderId="0" xfId="360" applyFont="1" applyAlignment="1">
      <alignment horizontal="left" wrapText="1"/>
    </xf>
    <xf numFmtId="172" fontId="4" fillId="0" borderId="0" xfId="360" applyFont="1" applyAlignment="1">
      <alignment vertical="center"/>
    </xf>
    <xf numFmtId="170" fontId="4" fillId="0" borderId="0" xfId="360" applyNumberFormat="1" applyFont="1"/>
    <xf numFmtId="0" fontId="26" fillId="0" borderId="0" xfId="361" applyFont="1" applyAlignment="1">
      <alignment horizontal="left" vertical="center"/>
    </xf>
    <xf numFmtId="0" fontId="26" fillId="0" borderId="0" xfId="361" applyFont="1"/>
    <xf numFmtId="0" fontId="26" fillId="0" borderId="0" xfId="361" applyFont="1" applyAlignment="1">
      <alignment vertical="top" wrapText="1"/>
    </xf>
    <xf numFmtId="0" fontId="26" fillId="0" borderId="0" xfId="361" applyFont="1" applyAlignment="1">
      <alignment vertical="top"/>
    </xf>
    <xf numFmtId="0" fontId="26" fillId="0" borderId="0" xfId="361" applyFont="1" applyAlignment="1">
      <alignment horizontal="left"/>
    </xf>
    <xf numFmtId="0" fontId="26" fillId="0" borderId="0" xfId="361" applyFont="1" applyAlignment="1">
      <alignment horizontal="center"/>
    </xf>
    <xf numFmtId="0" fontId="26" fillId="0" borderId="0" xfId="369" applyFont="1"/>
    <xf numFmtId="0" fontId="26" fillId="0" borderId="11" xfId="369" applyFont="1" applyBorder="1"/>
    <xf numFmtId="0" fontId="27" fillId="0" borderId="11" xfId="369" applyFont="1" applyBorder="1" applyAlignment="1">
      <alignment horizontal="center" wrapText="1"/>
    </xf>
    <xf numFmtId="0" fontId="27" fillId="0" borderId="11" xfId="369" applyFont="1" applyBorder="1" applyAlignment="1">
      <alignment horizontal="center"/>
    </xf>
    <xf numFmtId="0" fontId="27" fillId="0" borderId="13" xfId="369" applyFont="1" applyBorder="1" applyAlignment="1">
      <alignment horizontal="center" wrapText="1"/>
    </xf>
    <xf numFmtId="169" fontId="7" fillId="0" borderId="17" xfId="277" applyNumberFormat="1" applyFont="1" applyBorder="1" applyProtection="1"/>
    <xf numFmtId="3" fontId="8" fillId="0" borderId="0" xfId="277" applyNumberFormat="1" applyFont="1" applyAlignment="1" applyProtection="1">
      <alignment horizontal="right" vertical="center"/>
    </xf>
    <xf numFmtId="173" fontId="4" fillId="0" borderId="0" xfId="0" applyNumberFormat="1" applyFont="1"/>
    <xf numFmtId="170" fontId="146" fillId="30" borderId="0" xfId="276" applyNumberFormat="1" applyFont="1" applyFill="1" applyAlignment="1" applyProtection="1">
      <alignment horizontal="right"/>
      <protection locked="0"/>
    </xf>
    <xf numFmtId="0" fontId="20" fillId="0" borderId="0" xfId="278" applyFont="1" applyAlignment="1">
      <alignment horizontal="center" vertical="center"/>
    </xf>
    <xf numFmtId="173" fontId="14" fillId="0" borderId="21" xfId="0" applyNumberFormat="1" applyFont="1" applyBorder="1"/>
    <xf numFmtId="41" fontId="10" fillId="0" borderId="0" xfId="271" applyNumberFormat="1" applyFont="1" applyProtection="1">
      <protection locked="0"/>
    </xf>
    <xf numFmtId="41" fontId="10" fillId="30" borderId="0" xfId="363" applyNumberFormat="1" applyFont="1" applyFill="1" applyProtection="1">
      <protection locked="0"/>
    </xf>
    <xf numFmtId="174" fontId="154" fillId="30" borderId="6" xfId="0" applyNumberFormat="1" applyFont="1" applyFill="1" applyBorder="1" applyProtection="1">
      <protection locked="0"/>
    </xf>
    <xf numFmtId="173" fontId="80" fillId="0" borderId="0" xfId="278" applyNumberFormat="1" applyFont="1" applyAlignment="1" applyProtection="1">
      <alignment horizontal="center"/>
      <protection locked="0"/>
    </xf>
    <xf numFmtId="0" fontId="11" fillId="0" borderId="0" xfId="370" applyFont="1" applyAlignment="1">
      <alignment horizontal="center" wrapText="1"/>
    </xf>
    <xf numFmtId="0" fontId="11" fillId="0" borderId="34" xfId="370" applyFont="1" applyBorder="1" applyAlignment="1">
      <alignment horizontal="center" wrapText="1"/>
    </xf>
    <xf numFmtId="0" fontId="11" fillId="0" borderId="0" xfId="370" applyFont="1" applyAlignment="1">
      <alignment horizontal="center"/>
    </xf>
    <xf numFmtId="0" fontId="11" fillId="0" borderId="34" xfId="370" applyFont="1" applyBorder="1" applyAlignment="1">
      <alignment horizontal="center"/>
    </xf>
    <xf numFmtId="3" fontId="26" fillId="0" borderId="11" xfId="371" applyNumberFormat="1" applyFont="1" applyBorder="1" applyAlignment="1">
      <alignment horizontal="center" wrapText="1"/>
    </xf>
    <xf numFmtId="3" fontId="26" fillId="0" borderId="35" xfId="371" applyNumberFormat="1" applyFont="1" applyBorder="1" applyAlignment="1">
      <alignment horizontal="center" wrapText="1"/>
    </xf>
    <xf numFmtId="173" fontId="10" fillId="26" borderId="0" xfId="372" applyNumberFormat="1" applyFont="1" applyFill="1" applyBorder="1" applyAlignment="1">
      <alignment horizontal="right"/>
    </xf>
    <xf numFmtId="173" fontId="10" fillId="26" borderId="34" xfId="372" applyNumberFormat="1" applyFont="1" applyFill="1" applyBorder="1" applyAlignment="1">
      <alignment horizontal="right"/>
    </xf>
    <xf numFmtId="173" fontId="10" fillId="26" borderId="35" xfId="372" applyNumberFormat="1" applyFont="1" applyFill="1" applyBorder="1" applyAlignment="1">
      <alignment horizontal="right"/>
    </xf>
    <xf numFmtId="173" fontId="4" fillId="0" borderId="14" xfId="372" applyNumberFormat="1" applyFont="1" applyBorder="1"/>
    <xf numFmtId="173" fontId="4" fillId="0" borderId="41" xfId="372" applyNumberFormat="1" applyFont="1" applyBorder="1"/>
    <xf numFmtId="0" fontId="11" fillId="0" borderId="2" xfId="370" applyFont="1" applyBorder="1" applyAlignment="1">
      <alignment horizontal="center" wrapText="1"/>
    </xf>
    <xf numFmtId="0" fontId="11" fillId="0" borderId="32" xfId="370" applyFont="1" applyBorder="1" applyAlignment="1">
      <alignment horizontal="center" wrapText="1"/>
    </xf>
    <xf numFmtId="173" fontId="10" fillId="26" borderId="32" xfId="372" applyNumberFormat="1" applyFont="1" applyFill="1" applyBorder="1" applyAlignment="1">
      <alignment horizontal="right"/>
    </xf>
    <xf numFmtId="173" fontId="10" fillId="26" borderId="11" xfId="372" applyNumberFormat="1" applyFont="1" applyFill="1" applyBorder="1" applyAlignment="1">
      <alignment horizontal="right"/>
    </xf>
    <xf numFmtId="0" fontId="156" fillId="0" borderId="2" xfId="0" applyFont="1" applyBorder="1"/>
    <xf numFmtId="0" fontId="156" fillId="0" borderId="32" xfId="0" applyFont="1" applyBorder="1"/>
    <xf numFmtId="3" fontId="4" fillId="0" borderId="11" xfId="371" applyNumberFormat="1" applyBorder="1" applyAlignment="1">
      <alignment horizontal="center" wrapText="1"/>
    </xf>
    <xf numFmtId="3" fontId="4" fillId="0" borderId="35" xfId="371" applyNumberFormat="1" applyBorder="1" applyAlignment="1">
      <alignment horizontal="center" wrapText="1"/>
    </xf>
    <xf numFmtId="173" fontId="156" fillId="26" borderId="0" xfId="372" applyNumberFormat="1" applyFont="1" applyFill="1" applyBorder="1" applyAlignment="1">
      <alignment horizontal="right"/>
    </xf>
    <xf numFmtId="173" fontId="156" fillId="26" borderId="32" xfId="372" applyNumberFormat="1" applyFont="1" applyFill="1" applyBorder="1" applyAlignment="1">
      <alignment horizontal="right"/>
    </xf>
    <xf numFmtId="173" fontId="156" fillId="26" borderId="34" xfId="372" applyNumberFormat="1" applyFont="1" applyFill="1" applyBorder="1" applyAlignment="1">
      <alignment horizontal="right"/>
    </xf>
    <xf numFmtId="173" fontId="156" fillId="26" borderId="35" xfId="372" applyNumberFormat="1" applyFont="1" applyFill="1" applyBorder="1" applyAlignment="1">
      <alignment horizontal="right"/>
    </xf>
    <xf numFmtId="0" fontId="11" fillId="0" borderId="2" xfId="281" applyFont="1" applyBorder="1" applyAlignment="1">
      <alignment horizontal="center" wrapText="1"/>
    </xf>
    <xf numFmtId="0" fontId="11" fillId="0" borderId="0" xfId="269" applyFont="1" applyAlignment="1">
      <alignment horizontal="center" wrapText="1"/>
    </xf>
    <xf numFmtId="173" fontId="10" fillId="26" borderId="0" xfId="112" applyNumberFormat="1" applyFont="1" applyFill="1" applyBorder="1" applyAlignment="1" applyProtection="1">
      <protection locked="0"/>
    </xf>
    <xf numFmtId="173" fontId="10" fillId="30" borderId="0" xfId="89" applyNumberFormat="1" applyFont="1" applyFill="1" applyBorder="1" applyAlignment="1">
      <alignment horizontal="right"/>
    </xf>
    <xf numFmtId="0" fontId="4" fillId="0" borderId="0" xfId="371" applyAlignment="1">
      <alignment horizontal="center"/>
    </xf>
    <xf numFmtId="38" fontId="4" fillId="0" borderId="0" xfId="0" applyNumberFormat="1" applyFont="1"/>
    <xf numFmtId="3" fontId="4" fillId="0" borderId="0" xfId="371" applyNumberFormat="1"/>
    <xf numFmtId="0" fontId="4" fillId="0" borderId="0" xfId="371" applyAlignment="1">
      <alignment horizontal="left"/>
    </xf>
    <xf numFmtId="173" fontId="4" fillId="0" borderId="0" xfId="372" applyNumberFormat="1" applyFont="1" applyFill="1" applyBorder="1" applyAlignment="1" applyProtection="1">
      <alignment horizontal="right"/>
    </xf>
    <xf numFmtId="3" fontId="158" fillId="26" borderId="0" xfId="277" applyNumberFormat="1" applyFont="1" applyFill="1" applyProtection="1">
      <protection locked="0"/>
    </xf>
    <xf numFmtId="3" fontId="158" fillId="0" borderId="0" xfId="277" applyNumberFormat="1" applyFont="1" applyAlignment="1" applyProtection="1">
      <alignment horizontal="center"/>
    </xf>
    <xf numFmtId="41" fontId="158" fillId="26" borderId="6" xfId="277" applyNumberFormat="1" applyFont="1" applyFill="1" applyBorder="1" applyProtection="1">
      <protection locked="0"/>
    </xf>
    <xf numFmtId="3" fontId="158" fillId="0" borderId="0" xfId="277" applyNumberFormat="1" applyFont="1" applyProtection="1"/>
    <xf numFmtId="43" fontId="4" fillId="0" borderId="0" xfId="86" applyFont="1" applyAlignment="1" applyProtection="1"/>
    <xf numFmtId="173" fontId="7" fillId="0" borderId="6" xfId="86" applyNumberFormat="1" applyFont="1" applyFill="1" applyBorder="1" applyAlignment="1" applyProtection="1"/>
    <xf numFmtId="43" fontId="7" fillId="0" borderId="0" xfId="277" applyNumberFormat="1" applyFont="1" applyProtection="1"/>
    <xf numFmtId="3" fontId="7" fillId="30" borderId="0" xfId="0" quotePrefix="1" applyNumberFormat="1" applyFont="1" applyFill="1" applyAlignment="1" applyProtection="1">
      <alignment horizontal="center"/>
      <protection locked="0"/>
    </xf>
    <xf numFmtId="41" fontId="26" fillId="30" borderId="12" xfId="272" applyNumberFormat="1" applyFont="1" applyFill="1" applyBorder="1" applyProtection="1">
      <protection locked="0"/>
    </xf>
    <xf numFmtId="173" fontId="26" fillId="36" borderId="12" xfId="373" applyNumberFormat="1" applyFont="1" applyFill="1" applyBorder="1"/>
    <xf numFmtId="173" fontId="26" fillId="36" borderId="47" xfId="373" applyNumberFormat="1" applyFont="1" applyFill="1" applyBorder="1"/>
    <xf numFmtId="173" fontId="26" fillId="0" borderId="47" xfId="373" applyNumberFormat="1" applyFont="1" applyFill="1" applyBorder="1"/>
    <xf numFmtId="0" fontId="4" fillId="0" borderId="35" xfId="281" applyFont="1" applyBorder="1" applyAlignment="1">
      <alignment horizontal="right"/>
    </xf>
    <xf numFmtId="0" fontId="7" fillId="0" borderId="0" xfId="0" applyFont="1" applyAlignment="1">
      <alignment horizontal="left" vertical="top" wrapText="1"/>
    </xf>
    <xf numFmtId="172" fontId="7" fillId="0" borderId="0" xfId="277" applyFont="1" applyAlignment="1" applyProtection="1">
      <alignment horizontal="left" wrapText="1"/>
    </xf>
    <xf numFmtId="0" fontId="7" fillId="0" borderId="0" xfId="277" applyNumberFormat="1" applyFont="1" applyAlignment="1" applyProtection="1">
      <alignment vertical="top" wrapText="1"/>
    </xf>
    <xf numFmtId="0" fontId="14" fillId="0" borderId="0" xfId="0" applyFont="1"/>
    <xf numFmtId="0" fontId="28" fillId="0" borderId="0" xfId="277" applyNumberFormat="1" applyFont="1" applyAlignment="1" applyProtection="1">
      <alignment horizontal="left" wrapText="1"/>
    </xf>
    <xf numFmtId="172" fontId="7" fillId="0" borderId="0" xfId="277" applyFont="1" applyAlignment="1" applyProtection="1">
      <alignment horizontal="justify" wrapText="1"/>
    </xf>
    <xf numFmtId="0" fontId="14" fillId="0" borderId="0" xfId="0" applyFont="1" applyAlignment="1">
      <alignment horizontal="justify" wrapText="1"/>
    </xf>
    <xf numFmtId="172" fontId="28" fillId="0" borderId="0" xfId="277" applyFont="1" applyAlignment="1" applyProtection="1">
      <alignment vertical="top" wrapText="1"/>
    </xf>
    <xf numFmtId="0" fontId="28" fillId="0" borderId="0" xfId="0" applyFont="1" applyAlignment="1">
      <alignment vertical="top" wrapText="1"/>
    </xf>
    <xf numFmtId="172" fontId="28" fillId="0" borderId="0" xfId="277" applyFont="1" applyAlignment="1" applyProtection="1">
      <alignment wrapText="1"/>
    </xf>
    <xf numFmtId="172" fontId="7" fillId="0" borderId="0" xfId="277" applyFont="1" applyAlignment="1" applyProtection="1">
      <alignment vertical="top" wrapText="1"/>
    </xf>
    <xf numFmtId="172" fontId="109" fillId="0" borderId="0" xfId="277" applyFont="1" applyAlignment="1" applyProtection="1">
      <alignment wrapText="1"/>
    </xf>
    <xf numFmtId="0" fontId="14" fillId="0" borderId="0" xfId="0" applyFont="1" applyAlignment="1">
      <alignment wrapText="1"/>
    </xf>
    <xf numFmtId="0" fontId="34" fillId="0" borderId="0" xfId="0" applyFont="1" applyAlignment="1">
      <alignment wrapText="1"/>
    </xf>
    <xf numFmtId="0" fontId="7" fillId="0" borderId="0" xfId="277" applyNumberFormat="1" applyFont="1" applyAlignment="1" applyProtection="1">
      <alignment wrapText="1"/>
    </xf>
    <xf numFmtId="0" fontId="7" fillId="32" borderId="0" xfId="277" applyNumberFormat="1" applyFont="1" applyFill="1" applyAlignment="1" applyProtection="1">
      <alignment horizontal="left" vertical="top" wrapText="1"/>
    </xf>
    <xf numFmtId="3" fontId="110" fillId="31" borderId="0" xfId="277" applyNumberFormat="1" applyFont="1" applyFill="1" applyAlignment="1" applyProtection="1">
      <alignment horizontal="center"/>
    </xf>
    <xf numFmtId="3" fontId="12" fillId="0" borderId="0" xfId="277" applyNumberFormat="1" applyFont="1" applyAlignment="1" applyProtection="1">
      <alignment horizontal="center"/>
    </xf>
    <xf numFmtId="0" fontId="7" fillId="0" borderId="0" xfId="0" applyFont="1" applyAlignment="1">
      <alignment wrapText="1"/>
    </xf>
    <xf numFmtId="172" fontId="79" fillId="0" borderId="0" xfId="277" applyFont="1" applyAlignment="1" applyProtection="1">
      <alignment horizontal="left" wrapText="1"/>
    </xf>
    <xf numFmtId="49" fontId="7" fillId="0" borderId="0" xfId="277" applyNumberFormat="1" applyFont="1" applyAlignment="1" applyProtection="1">
      <alignment horizontal="center"/>
    </xf>
    <xf numFmtId="0" fontId="34" fillId="0" borderId="0" xfId="0" applyFont="1" applyAlignment="1">
      <alignment horizontal="center"/>
    </xf>
    <xf numFmtId="0" fontId="12" fillId="0" borderId="0" xfId="277" applyNumberFormat="1" applyFont="1" applyAlignment="1" applyProtection="1">
      <alignment horizontal="center"/>
    </xf>
    <xf numFmtId="0" fontId="15" fillId="0" borderId="0" xfId="0" applyFont="1"/>
    <xf numFmtId="0" fontId="0" fillId="0" borderId="0" xfId="0" applyAlignment="1">
      <alignment horizontal="center"/>
    </xf>
    <xf numFmtId="172" fontId="8" fillId="0" borderId="11" xfId="277" applyFont="1" applyBorder="1" applyAlignment="1" applyProtection="1">
      <alignment horizontal="center"/>
    </xf>
    <xf numFmtId="0" fontId="7" fillId="0" borderId="0" xfId="0" applyFont="1" applyAlignment="1">
      <alignment horizontal="center"/>
    </xf>
    <xf numFmtId="0" fontId="7" fillId="0" borderId="0" xfId="220" applyFont="1" applyAlignment="1">
      <alignment horizontal="center"/>
    </xf>
    <xf numFmtId="3" fontId="7" fillId="0" borderId="0" xfId="220" applyNumberFormat="1" applyFont="1" applyAlignment="1">
      <alignment horizontal="center"/>
    </xf>
    <xf numFmtId="0" fontId="11" fillId="0" borderId="47" xfId="0" applyFont="1" applyBorder="1" applyAlignment="1">
      <alignment horizontal="center"/>
    </xf>
    <xf numFmtId="0" fontId="11" fillId="0" borderId="13" xfId="0" applyFont="1" applyBorder="1" applyAlignment="1">
      <alignment horizontal="center"/>
    </xf>
    <xf numFmtId="0" fontId="11" fillId="0" borderId="48" xfId="0" applyFont="1" applyBorder="1" applyAlignment="1">
      <alignment horizontal="center"/>
    </xf>
    <xf numFmtId="0" fontId="11" fillId="0" borderId="47" xfId="281" applyFont="1" applyBorder="1" applyAlignment="1">
      <alignment horizontal="center" wrapText="1"/>
    </xf>
    <xf numFmtId="0" fontId="11" fillId="0" borderId="13" xfId="281" applyFont="1" applyBorder="1" applyAlignment="1">
      <alignment horizontal="center" wrapText="1"/>
    </xf>
    <xf numFmtId="0" fontId="11" fillId="0" borderId="48" xfId="281" applyFont="1" applyBorder="1" applyAlignment="1">
      <alignment horizontal="center" wrapText="1"/>
    </xf>
    <xf numFmtId="38" fontId="65" fillId="0" borderId="0" xfId="0" applyNumberFormat="1" applyFont="1" applyAlignment="1">
      <alignment horizontal="left" wrapText="1"/>
    </xf>
    <xf numFmtId="0" fontId="42" fillId="0" borderId="0" xfId="270" applyFont="1" applyAlignment="1">
      <alignment horizontal="center" wrapText="1"/>
    </xf>
    <xf numFmtId="0" fontId="65" fillId="0" borderId="11" xfId="0" applyFont="1" applyBorder="1" applyAlignment="1">
      <alignment horizontal="center" wrapText="1"/>
    </xf>
    <xf numFmtId="3" fontId="7" fillId="0" borderId="0" xfId="0" applyNumberFormat="1" applyFont="1" applyAlignment="1">
      <alignment horizontal="center"/>
    </xf>
    <xf numFmtId="0" fontId="42" fillId="0" borderId="0" xfId="220" quotePrefix="1" applyFont="1" applyAlignment="1">
      <alignment horizontal="center" wrapText="1"/>
    </xf>
    <xf numFmtId="0" fontId="26" fillId="0" borderId="0" xfId="361" applyFont="1" applyAlignment="1">
      <alignment horizontal="left" vertical="top" wrapText="1"/>
    </xf>
    <xf numFmtId="0" fontId="26" fillId="0" borderId="11" xfId="223" applyFont="1" applyBorder="1" applyAlignment="1">
      <alignment horizontal="center"/>
    </xf>
    <xf numFmtId="0" fontId="26" fillId="0" borderId="11" xfId="0" applyFont="1" applyBorder="1" applyAlignment="1">
      <alignment horizontal="center"/>
    </xf>
    <xf numFmtId="0" fontId="26" fillId="0" borderId="11" xfId="223" applyFont="1" applyBorder="1" applyAlignment="1">
      <alignment horizontal="center" wrapText="1"/>
    </xf>
    <xf numFmtId="0" fontId="27" fillId="0" borderId="0" xfId="223" applyFont="1" applyAlignment="1">
      <alignment horizontal="center" wrapText="1"/>
    </xf>
    <xf numFmtId="41" fontId="26" fillId="30" borderId="33" xfId="271" applyNumberFormat="1" applyFont="1" applyFill="1" applyBorder="1" applyAlignment="1" applyProtection="1">
      <alignment horizontal="left" vertical="center" wrapText="1"/>
      <protection locked="0"/>
    </xf>
    <xf numFmtId="0" fontId="26" fillId="0" borderId="0" xfId="223" applyFont="1" applyAlignment="1">
      <alignment horizontal="center" wrapText="1"/>
    </xf>
    <xf numFmtId="2" fontId="4" fillId="0" borderId="0" xfId="360" applyNumberFormat="1" applyFont="1" applyAlignment="1">
      <alignment vertical="top"/>
    </xf>
    <xf numFmtId="41" fontId="11" fillId="0" borderId="0" xfId="363" applyNumberFormat="1" applyFont="1" applyAlignment="1" applyProtection="1">
      <alignment horizontal="center"/>
      <protection locked="0"/>
    </xf>
    <xf numFmtId="172" fontId="4" fillId="0" borderId="0" xfId="360" applyFont="1" applyAlignment="1">
      <alignment horizontal="center" wrapText="1"/>
    </xf>
    <xf numFmtId="172" fontId="4" fillId="0" borderId="0" xfId="360" applyFont="1" applyAlignment="1">
      <alignment vertical="center" wrapText="1"/>
    </xf>
    <xf numFmtId="172" fontId="4" fillId="0" borderId="0" xfId="360" applyFont="1" applyAlignment="1">
      <alignment horizontal="left" vertical="center" wrapText="1"/>
    </xf>
    <xf numFmtId="172" fontId="4" fillId="0" borderId="0" xfId="360" applyFont="1" applyAlignment="1">
      <alignment horizontal="left" vertical="top" wrapText="1"/>
    </xf>
    <xf numFmtId="172" fontId="4" fillId="0" borderId="0" xfId="360" applyFont="1" applyAlignment="1">
      <alignment horizontal="left" wrapText="1"/>
    </xf>
    <xf numFmtId="0" fontId="14" fillId="0" borderId="0" xfId="220" applyAlignment="1">
      <alignment horizontal="left" wrapText="1"/>
    </xf>
    <xf numFmtId="0" fontId="83" fillId="0" borderId="0" xfId="220" applyFont="1" applyAlignment="1">
      <alignment horizontal="center"/>
    </xf>
    <xf numFmtId="0" fontId="83" fillId="0" borderId="0" xfId="270" applyFont="1" applyAlignment="1">
      <alignment horizontal="center"/>
    </xf>
    <xf numFmtId="0" fontId="19" fillId="0" borderId="0" xfId="270" applyFont="1" applyAlignment="1">
      <alignment horizontal="center" wrapText="1"/>
    </xf>
    <xf numFmtId="0" fontId="15" fillId="0" borderId="0" xfId="0" applyFont="1" applyAlignment="1">
      <alignment horizontal="center" wrapText="1"/>
    </xf>
    <xf numFmtId="0" fontId="19" fillId="0" borderId="0" xfId="220" quotePrefix="1" applyFont="1" applyAlignment="1">
      <alignment horizontal="center" wrapText="1"/>
    </xf>
    <xf numFmtId="0" fontId="83" fillId="0" borderId="0" xfId="0" applyFont="1" applyAlignment="1">
      <alignment horizontal="center"/>
    </xf>
    <xf numFmtId="172" fontId="111" fillId="0" borderId="0" xfId="277" applyFont="1" applyAlignment="1" applyProtection="1">
      <alignment wrapText="1"/>
    </xf>
    <xf numFmtId="0" fontId="122" fillId="0" borderId="0" xfId="0" applyFont="1" applyAlignment="1">
      <alignment wrapText="1"/>
    </xf>
    <xf numFmtId="172" fontId="14" fillId="0" borderId="0" xfId="277" applyFont="1" applyAlignment="1" applyProtection="1">
      <alignment horizontal="left" vertical="top" wrapText="1"/>
    </xf>
    <xf numFmtId="0" fontId="96" fillId="0" borderId="0" xfId="282" applyFont="1" applyAlignment="1">
      <alignment wrapText="1"/>
    </xf>
    <xf numFmtId="3" fontId="6" fillId="0" borderId="0" xfId="0" applyNumberFormat="1" applyFont="1" applyAlignment="1">
      <alignment horizontal="center"/>
    </xf>
    <xf numFmtId="0" fontId="12" fillId="0" borderId="0" xfId="282" applyFont="1" applyAlignment="1">
      <alignment horizontal="center"/>
    </xf>
    <xf numFmtId="0" fontId="76" fillId="0" borderId="11" xfId="278" applyFont="1" applyBorder="1" applyAlignment="1">
      <alignment horizontal="center"/>
    </xf>
    <xf numFmtId="0" fontId="73" fillId="0" borderId="0" xfId="278" applyFont="1" applyAlignment="1">
      <alignment horizontal="left" wrapText="1"/>
    </xf>
    <xf numFmtId="0" fontId="0" fillId="0" borderId="0" xfId="0"/>
    <xf numFmtId="0" fontId="73" fillId="0" borderId="0" xfId="278" applyFont="1" applyAlignment="1">
      <alignment wrapText="1"/>
    </xf>
    <xf numFmtId="49" fontId="7" fillId="0" borderId="0" xfId="86" applyNumberFormat="1" applyFont="1" applyAlignment="1">
      <alignment horizontal="center"/>
    </xf>
    <xf numFmtId="0" fontId="6" fillId="0" borderId="0" xfId="220" applyFont="1" applyAlignment="1">
      <alignment horizontal="center"/>
    </xf>
    <xf numFmtId="0" fontId="6" fillId="0" borderId="0" xfId="0" applyFont="1" applyAlignment="1">
      <alignment horizontal="center"/>
    </xf>
    <xf numFmtId="0" fontId="0" fillId="0" borderId="0" xfId="0" applyAlignment="1">
      <alignment horizontal="left" wrapText="1"/>
    </xf>
    <xf numFmtId="0" fontId="157" fillId="30" borderId="0" xfId="0" applyFont="1" applyFill="1" applyAlignment="1" applyProtection="1">
      <alignment horizontal="left" vertical="top" wrapText="1"/>
      <protection locked="0"/>
    </xf>
    <xf numFmtId="173" fontId="97" fillId="0" borderId="0" xfId="86" applyNumberFormat="1" applyFont="1" applyBorder="1" applyAlignment="1" applyProtection="1">
      <alignment horizontal="center"/>
    </xf>
    <xf numFmtId="0" fontId="6"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172" fontId="4" fillId="0" borderId="23" xfId="277" applyFont="1" applyBorder="1" applyAlignment="1" applyProtection="1">
      <alignment wrapText="1"/>
    </xf>
    <xf numFmtId="0" fontId="4" fillId="0" borderId="17" xfId="0" applyFont="1" applyBorder="1" applyAlignment="1">
      <alignment wrapText="1"/>
    </xf>
    <xf numFmtId="0" fontId="4" fillId="0" borderId="24" xfId="0" applyFont="1" applyBorder="1" applyAlignment="1">
      <alignment wrapText="1"/>
    </xf>
    <xf numFmtId="0" fontId="4" fillId="0" borderId="19" xfId="0" applyFont="1" applyBorder="1" applyAlignment="1">
      <alignment wrapText="1"/>
    </xf>
    <xf numFmtId="0" fontId="4" fillId="0" borderId="0" xfId="0" applyFont="1" applyAlignment="1">
      <alignment wrapText="1"/>
    </xf>
    <xf numFmtId="0" fontId="4" fillId="0" borderId="20" xfId="0" applyFont="1" applyBorder="1" applyAlignment="1">
      <alignment wrapText="1"/>
    </xf>
    <xf numFmtId="0" fontId="71" fillId="30" borderId="0" xfId="0" applyFont="1" applyFill="1" applyAlignment="1" applyProtection="1">
      <alignment horizontal="left" wrapText="1"/>
      <protection locked="0"/>
    </xf>
    <xf numFmtId="0" fontId="0" fillId="30" borderId="0" xfId="0" applyFill="1" applyAlignment="1" applyProtection="1">
      <alignment wrapText="1"/>
      <protection locked="0"/>
    </xf>
    <xf numFmtId="0" fontId="14" fillId="32" borderId="0" xfId="0" applyFont="1" applyFill="1" applyAlignment="1">
      <alignment wrapText="1"/>
    </xf>
    <xf numFmtId="0" fontId="71" fillId="30" borderId="0" xfId="0" applyFont="1" applyFill="1" applyAlignment="1" applyProtection="1">
      <alignment horizontal="left"/>
      <protection locked="0"/>
    </xf>
    <xf numFmtId="0" fontId="7" fillId="0" borderId="0" xfId="174" applyFont="1" applyAlignment="1">
      <alignment horizontal="center"/>
    </xf>
    <xf numFmtId="0" fontId="11" fillId="0" borderId="47" xfId="174" applyFont="1" applyBorder="1" applyAlignment="1">
      <alignment horizontal="center"/>
    </xf>
    <xf numFmtId="0" fontId="11" fillId="0" borderId="13" xfId="174" applyFont="1" applyBorder="1" applyAlignment="1">
      <alignment horizontal="center"/>
    </xf>
    <xf numFmtId="0" fontId="11" fillId="0" borderId="48" xfId="174" applyFont="1" applyBorder="1" applyAlignment="1">
      <alignment horizontal="center"/>
    </xf>
    <xf numFmtId="0" fontId="14" fillId="0" borderId="0" xfId="272" applyAlignment="1">
      <alignment horizontal="left" wrapText="1"/>
    </xf>
    <xf numFmtId="0" fontId="14" fillId="0" borderId="0" xfId="194" applyAlignment="1">
      <alignment wrapText="1"/>
    </xf>
    <xf numFmtId="0" fontId="114" fillId="0" borderId="0" xfId="272" applyFont="1" applyAlignment="1">
      <alignment horizontal="left" wrapText="1"/>
    </xf>
    <xf numFmtId="0" fontId="65" fillId="0" borderId="0" xfId="174" applyFont="1" applyAlignment="1">
      <alignment horizontal="left" vertical="top" wrapText="1"/>
    </xf>
    <xf numFmtId="41" fontId="11" fillId="0" borderId="0" xfId="272" applyNumberFormat="1" applyFont="1" applyAlignment="1">
      <alignment horizontal="center" wrapText="1"/>
    </xf>
    <xf numFmtId="0" fontId="11" fillId="0" borderId="0" xfId="0" applyFont="1" applyAlignment="1">
      <alignment horizontal="center" wrapText="1"/>
    </xf>
    <xf numFmtId="0" fontId="11" fillId="0" borderId="0" xfId="0" applyFont="1" applyAlignment="1">
      <alignment horizontal="left" wrapText="1"/>
    </xf>
    <xf numFmtId="0" fontId="96" fillId="0" borderId="0" xfId="0" applyFont="1" applyAlignment="1">
      <alignment horizontal="center" wrapText="1"/>
    </xf>
    <xf numFmtId="0" fontId="22" fillId="30" borderId="0" xfId="0" applyFont="1" applyFill="1" applyAlignment="1" applyProtection="1">
      <alignment wrapText="1"/>
      <protection locked="0"/>
    </xf>
    <xf numFmtId="0" fontId="142" fillId="0" borderId="0" xfId="0" applyFont="1" applyAlignment="1">
      <alignment horizontal="left" vertical="center" wrapText="1"/>
    </xf>
    <xf numFmtId="0" fontId="142" fillId="0" borderId="0" xfId="220" applyFont="1" applyAlignment="1">
      <alignment horizontal="center"/>
    </xf>
    <xf numFmtId="3" fontId="142" fillId="0" borderId="0" xfId="220" applyNumberFormat="1" applyFont="1" applyAlignment="1">
      <alignment horizontal="center"/>
    </xf>
    <xf numFmtId="0" fontId="8" fillId="0" borderId="0" xfId="280" applyFont="1" applyAlignment="1">
      <alignment horizontal="left" vertical="top"/>
    </xf>
    <xf numFmtId="0" fontId="7" fillId="0" borderId="0" xfId="280" applyFont="1" applyAlignment="1">
      <alignment horizontal="left" vertical="top"/>
    </xf>
    <xf numFmtId="0" fontId="104" fillId="0" borderId="0" xfId="280" applyFont="1" applyAlignment="1">
      <alignment horizontal="center"/>
    </xf>
    <xf numFmtId="3" fontId="104" fillId="0" borderId="0" xfId="280" applyNumberFormat="1" applyFont="1" applyAlignment="1">
      <alignment horizontal="center"/>
    </xf>
    <xf numFmtId="0" fontId="79" fillId="0" borderId="11" xfId="280" applyFont="1" applyBorder="1" applyAlignment="1">
      <alignment wrapText="1"/>
    </xf>
    <xf numFmtId="0" fontId="0" fillId="0" borderId="11" xfId="0" applyBorder="1" applyAlignment="1">
      <alignment wrapText="1"/>
    </xf>
    <xf numFmtId="0" fontId="14" fillId="0" borderId="0" xfId="270" applyFont="1" applyAlignment="1">
      <alignment horizontal="left" vertical="top" wrapText="1"/>
    </xf>
    <xf numFmtId="0" fontId="11" fillId="0" borderId="0" xfId="284" applyFont="1" applyAlignment="1">
      <alignment horizontal="center"/>
    </xf>
    <xf numFmtId="0" fontId="8" fillId="0" borderId="0" xfId="0" applyFont="1" applyAlignment="1">
      <alignment horizontal="center"/>
    </xf>
    <xf numFmtId="0" fontId="79" fillId="0" borderId="0" xfId="0" applyFont="1" applyAlignment="1">
      <alignment horizontal="center"/>
    </xf>
    <xf numFmtId="0" fontId="124" fillId="0" borderId="0" xfId="0" applyFont="1" applyAlignment="1">
      <alignment horizontal="center" wrapText="1"/>
    </xf>
  </cellXfs>
  <cellStyles count="37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11" xfId="366" xr:uid="{00000000-0005-0000-0000-000056000000}"/>
    <cellStyle name="Comma 12 2" xfId="87" xr:uid="{00000000-0005-0000-0000-000057000000}"/>
    <cellStyle name="Comma 2" xfId="88" xr:uid="{00000000-0005-0000-0000-000058000000}"/>
    <cellStyle name="Comma 2 2" xfId="89" xr:uid="{00000000-0005-0000-0000-000059000000}"/>
    <cellStyle name="Comma 2 2 2" xfId="372" xr:uid="{0C7327AA-D8C7-4AA4-A951-78E52351C3CA}"/>
    <cellStyle name="Comma 3" xfId="90" xr:uid="{00000000-0005-0000-0000-00005A000000}"/>
    <cellStyle name="Comma 3 2" xfId="91" xr:uid="{00000000-0005-0000-0000-00005B000000}"/>
    <cellStyle name="Comma 3 3" xfId="92" xr:uid="{00000000-0005-0000-0000-00005C000000}"/>
    <cellStyle name="Comma 3 3 2" xfId="93" xr:uid="{00000000-0005-0000-0000-00005D000000}"/>
    <cellStyle name="Comma 3 3 3" xfId="94" xr:uid="{00000000-0005-0000-0000-00005E000000}"/>
    <cellStyle name="Comma 3 4" xfId="95" xr:uid="{00000000-0005-0000-0000-00005F000000}"/>
    <cellStyle name="Comma 3 4 2" xfId="96" xr:uid="{00000000-0005-0000-0000-000060000000}"/>
    <cellStyle name="Comma 3 4 3" xfId="97" xr:uid="{00000000-0005-0000-0000-000061000000}"/>
    <cellStyle name="Comma 3 5" xfId="98" xr:uid="{00000000-0005-0000-0000-000062000000}"/>
    <cellStyle name="Comma 3 5 2" xfId="99" xr:uid="{00000000-0005-0000-0000-000063000000}"/>
    <cellStyle name="Comma 3 5 3" xfId="100" xr:uid="{00000000-0005-0000-0000-000064000000}"/>
    <cellStyle name="Comma 3 6" xfId="101" xr:uid="{00000000-0005-0000-0000-000065000000}"/>
    <cellStyle name="Comma 3 6 2" xfId="102" xr:uid="{00000000-0005-0000-0000-000066000000}"/>
    <cellStyle name="Comma 3 7" xfId="103" xr:uid="{00000000-0005-0000-0000-000067000000}"/>
    <cellStyle name="Comma 3 8" xfId="104" xr:uid="{00000000-0005-0000-0000-000068000000}"/>
    <cellStyle name="Comma 4" xfId="362" xr:uid="{00000000-0005-0000-0000-000069000000}"/>
    <cellStyle name="Comma 4 2" xfId="105" xr:uid="{00000000-0005-0000-0000-00006A000000}"/>
    <cellStyle name="Comma 4 2 2" xfId="106" xr:uid="{00000000-0005-0000-0000-00006B000000}"/>
    <cellStyle name="Comma 4 2 3" xfId="107" xr:uid="{00000000-0005-0000-0000-00006C000000}"/>
    <cellStyle name="Comma 4 3" xfId="108" xr:uid="{00000000-0005-0000-0000-00006D000000}"/>
    <cellStyle name="Comma 5 2" xfId="109" xr:uid="{00000000-0005-0000-0000-00006E000000}"/>
    <cellStyle name="Comma 6" xfId="110" xr:uid="{00000000-0005-0000-0000-00006F000000}"/>
    <cellStyle name="Comma 6 2" xfId="111" xr:uid="{00000000-0005-0000-0000-000070000000}"/>
    <cellStyle name="Comma 6 2 2" xfId="112" xr:uid="{00000000-0005-0000-0000-000071000000}"/>
    <cellStyle name="Comma 6 3" xfId="113" xr:uid="{00000000-0005-0000-0000-000072000000}"/>
    <cellStyle name="Comma 7" xfId="114" xr:uid="{00000000-0005-0000-0000-000073000000}"/>
    <cellStyle name="Comma 7 2" xfId="115" xr:uid="{00000000-0005-0000-0000-000074000000}"/>
    <cellStyle name="Comma 8" xfId="116" xr:uid="{00000000-0005-0000-0000-000075000000}"/>
    <cellStyle name="Comma 9" xfId="117" xr:uid="{00000000-0005-0000-0000-000076000000}"/>
    <cellStyle name="Comma 9 3 2" xfId="373" xr:uid="{2439812B-AF78-412C-9A6B-563106ED0F16}"/>
    <cellStyle name="Comma_spp calc - revsd rev crd" xfId="118" xr:uid="{00000000-0005-0000-0000-000077000000}"/>
    <cellStyle name="Comma_spp calc - revsd rev crd 2" xfId="119" xr:uid="{00000000-0005-0000-0000-000078000000}"/>
    <cellStyle name="Comma0" xfId="120" xr:uid="{00000000-0005-0000-0000-000079000000}"/>
    <cellStyle name="Currency" xfId="121" builtinId="4"/>
    <cellStyle name="Currency 2" xfId="122" xr:uid="{00000000-0005-0000-0000-00007B000000}"/>
    <cellStyle name="Currency 2 2" xfId="123" xr:uid="{00000000-0005-0000-0000-00007C000000}"/>
    <cellStyle name="Currency 3" xfId="124" xr:uid="{00000000-0005-0000-0000-00007D000000}"/>
    <cellStyle name="Currency 3 2" xfId="125" xr:uid="{00000000-0005-0000-0000-00007E000000}"/>
    <cellStyle name="Currency 3 3" xfId="126" xr:uid="{00000000-0005-0000-0000-00007F000000}"/>
    <cellStyle name="Currency 3 3 2" xfId="127" xr:uid="{00000000-0005-0000-0000-000080000000}"/>
    <cellStyle name="Currency 3 3 3" xfId="128" xr:uid="{00000000-0005-0000-0000-000081000000}"/>
    <cellStyle name="Currency 3 4" xfId="129" xr:uid="{00000000-0005-0000-0000-000082000000}"/>
    <cellStyle name="Currency 3 4 2" xfId="130" xr:uid="{00000000-0005-0000-0000-000083000000}"/>
    <cellStyle name="Currency 3 4 3" xfId="131" xr:uid="{00000000-0005-0000-0000-000084000000}"/>
    <cellStyle name="Currency 3 5" xfId="132" xr:uid="{00000000-0005-0000-0000-000085000000}"/>
    <cellStyle name="Currency 3 5 2" xfId="133" xr:uid="{00000000-0005-0000-0000-000086000000}"/>
    <cellStyle name="Currency 3 5 3" xfId="134" xr:uid="{00000000-0005-0000-0000-000087000000}"/>
    <cellStyle name="Currency 3 6" xfId="135" xr:uid="{00000000-0005-0000-0000-000088000000}"/>
    <cellStyle name="Currency 3 6 2" xfId="136" xr:uid="{00000000-0005-0000-0000-000089000000}"/>
    <cellStyle name="Currency 3 7" xfId="137" xr:uid="{00000000-0005-0000-0000-00008A000000}"/>
    <cellStyle name="Currency 4 2" xfId="138" xr:uid="{00000000-0005-0000-0000-00008B000000}"/>
    <cellStyle name="Currency 4 2 2" xfId="139" xr:uid="{00000000-0005-0000-0000-00008C000000}"/>
    <cellStyle name="Currency 4 2 3" xfId="140" xr:uid="{00000000-0005-0000-0000-00008D000000}"/>
    <cellStyle name="Currency 4 3" xfId="141" xr:uid="{00000000-0005-0000-0000-00008E000000}"/>
    <cellStyle name="Currency 5 2" xfId="142" xr:uid="{00000000-0005-0000-0000-00008F000000}"/>
    <cellStyle name="Currency 6" xfId="143" xr:uid="{00000000-0005-0000-0000-000090000000}"/>
    <cellStyle name="Currency 7" xfId="144" xr:uid="{00000000-0005-0000-0000-000091000000}"/>
    <cellStyle name="Currency0" xfId="145" xr:uid="{00000000-0005-0000-0000-000092000000}"/>
    <cellStyle name="Date" xfId="146" xr:uid="{00000000-0005-0000-0000-000093000000}"/>
    <cellStyle name="Explanatory Text" xfId="147" builtinId="53" customBuiltin="1"/>
    <cellStyle name="Explanatory Text 2" xfId="148" xr:uid="{00000000-0005-0000-0000-000095000000}"/>
    <cellStyle name="Fixed" xfId="149" xr:uid="{00000000-0005-0000-0000-000096000000}"/>
    <cellStyle name="Good" xfId="150" builtinId="26" customBuiltin="1"/>
    <cellStyle name="Good 2" xfId="151" xr:uid="{00000000-0005-0000-0000-000098000000}"/>
    <cellStyle name="Heading 1" xfId="152" builtinId="16" customBuiltin="1"/>
    <cellStyle name="Heading 1 2" xfId="153" xr:uid="{00000000-0005-0000-0000-00009A000000}"/>
    <cellStyle name="Heading 2" xfId="154" builtinId="17" customBuiltin="1"/>
    <cellStyle name="Heading 2 2" xfId="155" xr:uid="{00000000-0005-0000-0000-00009C000000}"/>
    <cellStyle name="Heading 3" xfId="156" builtinId="18" customBuiltin="1"/>
    <cellStyle name="Heading 3 2" xfId="157" xr:uid="{00000000-0005-0000-0000-00009E000000}"/>
    <cellStyle name="Heading 4" xfId="158" builtinId="19" customBuiltin="1"/>
    <cellStyle name="Heading 4 2" xfId="159" xr:uid="{00000000-0005-0000-0000-0000A0000000}"/>
    <cellStyle name="Heading1" xfId="160" xr:uid="{00000000-0005-0000-0000-0000A1000000}"/>
    <cellStyle name="Heading2" xfId="161" xr:uid="{00000000-0005-0000-0000-0000A2000000}"/>
    <cellStyle name="Input" xfId="162" builtinId="20" customBuiltin="1"/>
    <cellStyle name="Input 2" xfId="163" xr:uid="{00000000-0005-0000-0000-0000A4000000}"/>
    <cellStyle name="Linked Cell" xfId="164" builtinId="24" customBuiltin="1"/>
    <cellStyle name="Linked Cell 2" xfId="165" xr:uid="{00000000-0005-0000-0000-0000A6000000}"/>
    <cellStyle name="Neutral" xfId="166" builtinId="28" customBuiltin="1"/>
    <cellStyle name="Neutral 2" xfId="167" xr:uid="{00000000-0005-0000-0000-0000A8000000}"/>
    <cellStyle name="Normal" xfId="0" builtinId="0"/>
    <cellStyle name="Normal 10" xfId="168" xr:uid="{00000000-0005-0000-0000-0000AA000000}"/>
    <cellStyle name="Normal 10 2" xfId="169" xr:uid="{00000000-0005-0000-0000-0000AB000000}"/>
    <cellStyle name="Normal 10 3" xfId="170" xr:uid="{00000000-0005-0000-0000-0000AC000000}"/>
    <cellStyle name="Normal 10 4" xfId="171" xr:uid="{00000000-0005-0000-0000-0000AD000000}"/>
    <cellStyle name="Normal 10 5" xfId="172" xr:uid="{00000000-0005-0000-0000-0000AE000000}"/>
    <cellStyle name="Normal 11" xfId="173" xr:uid="{00000000-0005-0000-0000-0000AF000000}"/>
    <cellStyle name="Normal 11 2" xfId="174" xr:uid="{00000000-0005-0000-0000-0000B0000000}"/>
    <cellStyle name="Normal 11 3" xfId="175" xr:uid="{00000000-0005-0000-0000-0000B1000000}"/>
    <cellStyle name="Normal 11 4" xfId="176" xr:uid="{00000000-0005-0000-0000-0000B2000000}"/>
    <cellStyle name="Normal 11 5" xfId="177" xr:uid="{00000000-0005-0000-0000-0000B3000000}"/>
    <cellStyle name="Normal 12" xfId="178" xr:uid="{00000000-0005-0000-0000-0000B4000000}"/>
    <cellStyle name="Normal 12 2" xfId="179" xr:uid="{00000000-0005-0000-0000-0000B5000000}"/>
    <cellStyle name="Normal 12 4" xfId="180" xr:uid="{00000000-0005-0000-0000-0000B6000000}"/>
    <cellStyle name="Normal 13" xfId="181" xr:uid="{00000000-0005-0000-0000-0000B7000000}"/>
    <cellStyle name="Normal 13 2" xfId="182" xr:uid="{00000000-0005-0000-0000-0000B8000000}"/>
    <cellStyle name="Normal 14" xfId="183" xr:uid="{00000000-0005-0000-0000-0000B9000000}"/>
    <cellStyle name="Normal 14 2" xfId="184" xr:uid="{00000000-0005-0000-0000-0000BA000000}"/>
    <cellStyle name="Normal 15" xfId="185" xr:uid="{00000000-0005-0000-0000-0000BB000000}"/>
    <cellStyle name="Normal 16" xfId="186" xr:uid="{00000000-0005-0000-0000-0000BC000000}"/>
    <cellStyle name="Normal 16 2" xfId="187" xr:uid="{00000000-0005-0000-0000-0000BD000000}"/>
    <cellStyle name="Normal 17" xfId="188" xr:uid="{00000000-0005-0000-0000-0000BE000000}"/>
    <cellStyle name="Normal 17 2" xfId="189" xr:uid="{00000000-0005-0000-0000-0000BF000000}"/>
    <cellStyle name="Normal 18" xfId="190" xr:uid="{00000000-0005-0000-0000-0000C0000000}"/>
    <cellStyle name="Normal 18 2" xfId="191" xr:uid="{00000000-0005-0000-0000-0000C1000000}"/>
    <cellStyle name="Normal 19" xfId="192" xr:uid="{00000000-0005-0000-0000-0000C2000000}"/>
    <cellStyle name="Normal 19 2" xfId="193" xr:uid="{00000000-0005-0000-0000-0000C3000000}"/>
    <cellStyle name="Normal 2" xfId="194" xr:uid="{00000000-0005-0000-0000-0000C4000000}"/>
    <cellStyle name="Normal 2 2" xfId="195" xr:uid="{00000000-0005-0000-0000-0000C5000000}"/>
    <cellStyle name="Normal 2 2 2" xfId="196" xr:uid="{00000000-0005-0000-0000-0000C6000000}"/>
    <cellStyle name="Normal 2 2 3" xfId="197" xr:uid="{00000000-0005-0000-0000-0000C7000000}"/>
    <cellStyle name="Normal 2 2 4" xfId="198" xr:uid="{00000000-0005-0000-0000-0000C8000000}"/>
    <cellStyle name="Normal 2 3" xfId="199" xr:uid="{00000000-0005-0000-0000-0000C9000000}"/>
    <cellStyle name="Normal 2 5" xfId="200" xr:uid="{00000000-0005-0000-0000-0000CA000000}"/>
    <cellStyle name="Normal 2 5 2" xfId="201" xr:uid="{00000000-0005-0000-0000-0000CB000000}"/>
    <cellStyle name="Normal 20" xfId="202" xr:uid="{00000000-0005-0000-0000-0000CC000000}"/>
    <cellStyle name="Normal 20 2" xfId="203" xr:uid="{00000000-0005-0000-0000-0000CD000000}"/>
    <cellStyle name="Normal 21" xfId="204" xr:uid="{00000000-0005-0000-0000-0000CE000000}"/>
    <cellStyle name="Normal 21 2" xfId="205" xr:uid="{00000000-0005-0000-0000-0000CF000000}"/>
    <cellStyle name="Normal 22" xfId="206" xr:uid="{00000000-0005-0000-0000-0000D0000000}"/>
    <cellStyle name="Normal 22 2" xfId="207" xr:uid="{00000000-0005-0000-0000-0000D1000000}"/>
    <cellStyle name="Normal 23" xfId="208" xr:uid="{00000000-0005-0000-0000-0000D2000000}"/>
    <cellStyle name="Normal 23 2" xfId="209" xr:uid="{00000000-0005-0000-0000-0000D3000000}"/>
    <cellStyle name="Normal 24" xfId="210" xr:uid="{00000000-0005-0000-0000-0000D4000000}"/>
    <cellStyle name="Normal 24 2" xfId="211" xr:uid="{00000000-0005-0000-0000-0000D5000000}"/>
    <cellStyle name="Normal 25" xfId="212" xr:uid="{00000000-0005-0000-0000-0000D6000000}"/>
    <cellStyle name="Normal 25 2" xfId="213" xr:uid="{00000000-0005-0000-0000-0000D7000000}"/>
    <cellStyle name="Normal 26" xfId="214" xr:uid="{00000000-0005-0000-0000-0000D8000000}"/>
    <cellStyle name="Normal 26 2" xfId="215" xr:uid="{00000000-0005-0000-0000-0000D9000000}"/>
    <cellStyle name="Normal 27" xfId="216" xr:uid="{00000000-0005-0000-0000-0000DA000000}"/>
    <cellStyle name="Normal 28" xfId="217" xr:uid="{00000000-0005-0000-0000-0000DB000000}"/>
    <cellStyle name="Normal 29" xfId="218" xr:uid="{00000000-0005-0000-0000-0000DC000000}"/>
    <cellStyle name="Normal 3" xfId="219" xr:uid="{00000000-0005-0000-0000-0000DD000000}"/>
    <cellStyle name="Normal 3 2" xfId="220" xr:uid="{00000000-0005-0000-0000-0000DE000000}"/>
    <cellStyle name="Normal 3 2 2" xfId="371" xr:uid="{DDFAFE41-23B7-4D32-A721-C48CBA0E536A}"/>
    <cellStyle name="Normal 3 3" xfId="221" xr:uid="{00000000-0005-0000-0000-0000DF000000}"/>
    <cellStyle name="Normal 3_Attach O, GG, Support -New Method 2-14-11" xfId="222" xr:uid="{00000000-0005-0000-0000-0000E0000000}"/>
    <cellStyle name="Normal 31" xfId="369" xr:uid="{00000000-0005-0000-0000-0000E1000000}"/>
    <cellStyle name="Normal 31 2" xfId="223" xr:uid="{00000000-0005-0000-0000-0000E2000000}"/>
    <cellStyle name="Normal 31 2 2" xfId="361" xr:uid="{00000000-0005-0000-0000-0000E3000000}"/>
    <cellStyle name="Normal 31 2 3" xfId="365" xr:uid="{00000000-0005-0000-0000-0000E4000000}"/>
    <cellStyle name="Normal 31 3" xfId="367" xr:uid="{00000000-0005-0000-0000-0000E5000000}"/>
    <cellStyle name="Normal 4" xfId="224" xr:uid="{00000000-0005-0000-0000-0000E6000000}"/>
    <cellStyle name="Normal 4 2" xfId="225" xr:uid="{00000000-0005-0000-0000-0000E7000000}"/>
    <cellStyle name="Normal 4 3" xfId="226" xr:uid="{00000000-0005-0000-0000-0000E8000000}"/>
    <cellStyle name="Normal 4 3 2" xfId="227" xr:uid="{00000000-0005-0000-0000-0000E9000000}"/>
    <cellStyle name="Normal 4 3 3" xfId="228" xr:uid="{00000000-0005-0000-0000-0000EA000000}"/>
    <cellStyle name="Normal 4 4" xfId="229" xr:uid="{00000000-0005-0000-0000-0000EB000000}"/>
    <cellStyle name="Normal 4 4 2" xfId="230" xr:uid="{00000000-0005-0000-0000-0000EC000000}"/>
    <cellStyle name="Normal 4 4 3" xfId="231" xr:uid="{00000000-0005-0000-0000-0000ED000000}"/>
    <cellStyle name="Normal 4 5" xfId="232" xr:uid="{00000000-0005-0000-0000-0000EE000000}"/>
    <cellStyle name="Normal 4 5 2" xfId="233" xr:uid="{00000000-0005-0000-0000-0000EF000000}"/>
    <cellStyle name="Normal 4 5 3" xfId="234" xr:uid="{00000000-0005-0000-0000-0000F0000000}"/>
    <cellStyle name="Normal 4 6" xfId="235" xr:uid="{00000000-0005-0000-0000-0000F1000000}"/>
    <cellStyle name="Normal 4 6 2" xfId="236" xr:uid="{00000000-0005-0000-0000-0000F2000000}"/>
    <cellStyle name="Normal 4 7" xfId="237" xr:uid="{00000000-0005-0000-0000-0000F3000000}"/>
    <cellStyle name="Normal 4 8" xfId="238" xr:uid="{00000000-0005-0000-0000-0000F4000000}"/>
    <cellStyle name="Normal 4_PBOP Exhibit 1" xfId="239" xr:uid="{00000000-0005-0000-0000-0000F5000000}"/>
    <cellStyle name="Normal 5" xfId="360" xr:uid="{00000000-0005-0000-0000-0000F6000000}"/>
    <cellStyle name="Normal 5 2" xfId="240" xr:uid="{00000000-0005-0000-0000-0000F7000000}"/>
    <cellStyle name="Normal 5 2 2" xfId="241" xr:uid="{00000000-0005-0000-0000-0000F8000000}"/>
    <cellStyle name="Normal 5 2 3" xfId="242" xr:uid="{00000000-0005-0000-0000-0000F9000000}"/>
    <cellStyle name="Normal 5 3" xfId="243" xr:uid="{00000000-0005-0000-0000-0000FA000000}"/>
    <cellStyle name="Normal 5 4" xfId="244" xr:uid="{00000000-0005-0000-0000-0000FB000000}"/>
    <cellStyle name="Normal 5 4 2" xfId="245" xr:uid="{00000000-0005-0000-0000-0000FC000000}"/>
    <cellStyle name="Normal 5 4 3" xfId="246" xr:uid="{00000000-0005-0000-0000-0000FD000000}"/>
    <cellStyle name="Normal 6 2" xfId="247" xr:uid="{00000000-0005-0000-0000-0000FE000000}"/>
    <cellStyle name="Normal 6 2 2" xfId="248" xr:uid="{00000000-0005-0000-0000-0000FF000000}"/>
    <cellStyle name="Normal 6 2 3" xfId="249" xr:uid="{00000000-0005-0000-0000-000000010000}"/>
    <cellStyle name="Normal 6 2 4" xfId="250" xr:uid="{00000000-0005-0000-0000-000001010000}"/>
    <cellStyle name="Normal 6 2 5" xfId="251" xr:uid="{00000000-0005-0000-0000-000002010000}"/>
    <cellStyle name="Normal 6 3" xfId="252" xr:uid="{00000000-0005-0000-0000-000003010000}"/>
    <cellStyle name="Normal 6 3 2" xfId="253" xr:uid="{00000000-0005-0000-0000-000004010000}"/>
    <cellStyle name="Normal 6 3 3" xfId="254" xr:uid="{00000000-0005-0000-0000-000005010000}"/>
    <cellStyle name="Normal 6 4" xfId="255" xr:uid="{00000000-0005-0000-0000-000006010000}"/>
    <cellStyle name="Normal 6 5" xfId="256" xr:uid="{00000000-0005-0000-0000-000007010000}"/>
    <cellStyle name="Normal 7" xfId="257" xr:uid="{00000000-0005-0000-0000-000008010000}"/>
    <cellStyle name="Normal 7 2" xfId="258" xr:uid="{00000000-0005-0000-0000-000009010000}"/>
    <cellStyle name="Normal 7 3" xfId="259" xr:uid="{00000000-0005-0000-0000-00000A010000}"/>
    <cellStyle name="Normal 7 4" xfId="260" xr:uid="{00000000-0005-0000-0000-00000B010000}"/>
    <cellStyle name="Normal 8" xfId="261" xr:uid="{00000000-0005-0000-0000-00000C010000}"/>
    <cellStyle name="Normal 8 2" xfId="262" xr:uid="{00000000-0005-0000-0000-00000D010000}"/>
    <cellStyle name="Normal 8 3" xfId="263" xr:uid="{00000000-0005-0000-0000-00000E010000}"/>
    <cellStyle name="Normal 8 4" xfId="264" xr:uid="{00000000-0005-0000-0000-00000F010000}"/>
    <cellStyle name="Normal 9" xfId="265" xr:uid="{00000000-0005-0000-0000-000010010000}"/>
    <cellStyle name="Normal 9 2" xfId="266" xr:uid="{00000000-0005-0000-0000-000011010000}"/>
    <cellStyle name="Normal 9 3" xfId="267" xr:uid="{00000000-0005-0000-0000-000012010000}"/>
    <cellStyle name="Normal 9 4" xfId="268" xr:uid="{00000000-0005-0000-0000-000013010000}"/>
    <cellStyle name="Normal_21 Exh B" xfId="269" xr:uid="{00000000-0005-0000-0000-000014010000}"/>
    <cellStyle name="Normal_ADITAnalysisID090805" xfId="270" xr:uid="{00000000-0005-0000-0000-000015010000}"/>
    <cellStyle name="Normal_ADITAnalysisID090805 2" xfId="271" xr:uid="{00000000-0005-0000-0000-000016010000}"/>
    <cellStyle name="Normal_ADITAnalysisID090805 2 2" xfId="272" xr:uid="{00000000-0005-0000-0000-000017010000}"/>
    <cellStyle name="Normal_ADITAnalysisID090805 2 3" xfId="363" xr:uid="{00000000-0005-0000-0000-000018010000}"/>
    <cellStyle name="Normal_ADITAnalysisID090805 3" xfId="273" xr:uid="{00000000-0005-0000-0000-000019010000}"/>
    <cellStyle name="Normal_ATC Projected 2008 Monthly Plant Balances for Attachment O 2 (2)" xfId="274" xr:uid="{00000000-0005-0000-0000-00001A010000}"/>
    <cellStyle name="Normal_AU Period 2 Rev 4-27-00" xfId="275" xr:uid="{00000000-0005-0000-0000-00001B010000}"/>
    <cellStyle name="Normal_Copy of PATH Formula Rate 2010 Projection Filed Sept 1, 2009 R1" xfId="276" xr:uid="{00000000-0005-0000-0000-00001C010000}"/>
    <cellStyle name="Normal_FN1 Ratebase Draft SPP template (6-11-04) v2" xfId="277" xr:uid="{00000000-0005-0000-0000-00001D010000}"/>
    <cellStyle name="Normal_I&amp;M-AK-1" xfId="278" xr:uid="{00000000-0005-0000-0000-00001E010000}"/>
    <cellStyle name="Normal_IM LTD Hedge Entries 2" xfId="279" xr:uid="{00000000-0005-0000-0000-00001F010000}"/>
    <cellStyle name="Normal_Revised 1-21-10  Deprec Summary" xfId="280" xr:uid="{00000000-0005-0000-0000-000020010000}"/>
    <cellStyle name="Normal_Schedule O Info for Mike" xfId="281" xr:uid="{00000000-0005-0000-0000-000021010000}"/>
    <cellStyle name="Normal_Schedule O Info for Mike 2" xfId="370" xr:uid="{367DD843-1E80-490E-A4E2-161A104AAF1E}"/>
    <cellStyle name="Normal_spp calc - revsd rev crd" xfId="282" xr:uid="{00000000-0005-0000-0000-000022010000}"/>
    <cellStyle name="Normal_spp calc - revsd rev crd 2" xfId="283" xr:uid="{00000000-0005-0000-0000-000023010000}"/>
    <cellStyle name="Normal_Worksheet Q Draft dwb edits" xfId="284" xr:uid="{00000000-0005-0000-0000-000024010000}"/>
    <cellStyle name="Note" xfId="285" builtinId="10" customBuiltin="1"/>
    <cellStyle name="Note 2" xfId="286" xr:uid="{00000000-0005-0000-0000-000026010000}"/>
    <cellStyle name="Output" xfId="287" builtinId="21" customBuiltin="1"/>
    <cellStyle name="Output 2" xfId="288" xr:uid="{00000000-0005-0000-0000-000028010000}"/>
    <cellStyle name="Percent" xfId="289" builtinId="5"/>
    <cellStyle name="Percent 11" xfId="368" xr:uid="{00000000-0005-0000-0000-00002A010000}"/>
    <cellStyle name="Percent 2" xfId="290" xr:uid="{00000000-0005-0000-0000-00002B010000}"/>
    <cellStyle name="Percent 2 2" xfId="291" xr:uid="{00000000-0005-0000-0000-00002C010000}"/>
    <cellStyle name="Percent 3" xfId="292" xr:uid="{00000000-0005-0000-0000-00002D010000}"/>
    <cellStyle name="Percent 3 2" xfId="293" xr:uid="{00000000-0005-0000-0000-00002E010000}"/>
    <cellStyle name="Percent 3 3" xfId="294" xr:uid="{00000000-0005-0000-0000-00002F010000}"/>
    <cellStyle name="Percent 3 3 2" xfId="295" xr:uid="{00000000-0005-0000-0000-000030010000}"/>
    <cellStyle name="Percent 3 3 3" xfId="296" xr:uid="{00000000-0005-0000-0000-000031010000}"/>
    <cellStyle name="Percent 3 4" xfId="297" xr:uid="{00000000-0005-0000-0000-000032010000}"/>
    <cellStyle name="Percent 3 4 2" xfId="298" xr:uid="{00000000-0005-0000-0000-000033010000}"/>
    <cellStyle name="Percent 3 4 3" xfId="299" xr:uid="{00000000-0005-0000-0000-000034010000}"/>
    <cellStyle name="Percent 3 5" xfId="300" xr:uid="{00000000-0005-0000-0000-000035010000}"/>
    <cellStyle name="Percent 3 5 2" xfId="301" xr:uid="{00000000-0005-0000-0000-000036010000}"/>
    <cellStyle name="Percent 3 5 3" xfId="302" xr:uid="{00000000-0005-0000-0000-000037010000}"/>
    <cellStyle name="Percent 3 6" xfId="303" xr:uid="{00000000-0005-0000-0000-000038010000}"/>
    <cellStyle name="Percent 3 6 2" xfId="304" xr:uid="{00000000-0005-0000-0000-000039010000}"/>
    <cellStyle name="Percent 3 7" xfId="305" xr:uid="{00000000-0005-0000-0000-00003A010000}"/>
    <cellStyle name="Percent 4" xfId="364" xr:uid="{00000000-0005-0000-0000-00003B010000}"/>
    <cellStyle name="Percent 4 2" xfId="306" xr:uid="{00000000-0005-0000-0000-00003C010000}"/>
    <cellStyle name="Percent 4 3" xfId="307" xr:uid="{00000000-0005-0000-0000-00003D010000}"/>
    <cellStyle name="Percent 4 3 2" xfId="308" xr:uid="{00000000-0005-0000-0000-00003E010000}"/>
    <cellStyle name="Percent 4 3 3" xfId="309" xr:uid="{00000000-0005-0000-0000-00003F010000}"/>
    <cellStyle name="Percent 4 4" xfId="310" xr:uid="{00000000-0005-0000-0000-000040010000}"/>
    <cellStyle name="Percent 5 2" xfId="311" xr:uid="{00000000-0005-0000-0000-000041010000}"/>
    <cellStyle name="Percent 6" xfId="312" xr:uid="{00000000-0005-0000-0000-000042010000}"/>
    <cellStyle name="Percent 7" xfId="313" xr:uid="{00000000-0005-0000-0000-000043010000}"/>
    <cellStyle name="Percent 8" xfId="314" xr:uid="{00000000-0005-0000-0000-000044010000}"/>
    <cellStyle name="PSChar" xfId="315" xr:uid="{00000000-0005-0000-0000-000045010000}"/>
    <cellStyle name="PSDate" xfId="316" xr:uid="{00000000-0005-0000-0000-000046010000}"/>
    <cellStyle name="PSDec" xfId="317" xr:uid="{00000000-0005-0000-0000-000047010000}"/>
    <cellStyle name="PSdesc" xfId="318" xr:uid="{00000000-0005-0000-0000-000048010000}"/>
    <cellStyle name="PSHeading" xfId="319" xr:uid="{00000000-0005-0000-0000-000049010000}"/>
    <cellStyle name="PSInt" xfId="320" xr:uid="{00000000-0005-0000-0000-00004A010000}"/>
    <cellStyle name="PSSpacer" xfId="321" xr:uid="{00000000-0005-0000-0000-00004B010000}"/>
    <cellStyle name="PStest" xfId="322" xr:uid="{00000000-0005-0000-0000-00004C010000}"/>
    <cellStyle name="R00A" xfId="323" xr:uid="{00000000-0005-0000-0000-00004D010000}"/>
    <cellStyle name="R00B" xfId="324" xr:uid="{00000000-0005-0000-0000-00004E010000}"/>
    <cellStyle name="R00L" xfId="325" xr:uid="{00000000-0005-0000-0000-00004F010000}"/>
    <cellStyle name="R01A" xfId="326" xr:uid="{00000000-0005-0000-0000-000050010000}"/>
    <cellStyle name="R01B" xfId="327" xr:uid="{00000000-0005-0000-0000-000051010000}"/>
    <cellStyle name="R01H" xfId="328" xr:uid="{00000000-0005-0000-0000-000052010000}"/>
    <cellStyle name="R01L" xfId="329" xr:uid="{00000000-0005-0000-0000-000053010000}"/>
    <cellStyle name="R02A" xfId="330" xr:uid="{00000000-0005-0000-0000-000054010000}"/>
    <cellStyle name="R02B" xfId="331" xr:uid="{00000000-0005-0000-0000-000055010000}"/>
    <cellStyle name="R02H" xfId="332" xr:uid="{00000000-0005-0000-0000-000056010000}"/>
    <cellStyle name="R02L" xfId="333" xr:uid="{00000000-0005-0000-0000-000057010000}"/>
    <cellStyle name="R03A" xfId="334" xr:uid="{00000000-0005-0000-0000-000058010000}"/>
    <cellStyle name="R03B" xfId="335" xr:uid="{00000000-0005-0000-0000-000059010000}"/>
    <cellStyle name="R03H" xfId="336" xr:uid="{00000000-0005-0000-0000-00005A010000}"/>
    <cellStyle name="R03L" xfId="337" xr:uid="{00000000-0005-0000-0000-00005B010000}"/>
    <cellStyle name="R04A" xfId="338" xr:uid="{00000000-0005-0000-0000-00005C010000}"/>
    <cellStyle name="R04B" xfId="339" xr:uid="{00000000-0005-0000-0000-00005D010000}"/>
    <cellStyle name="R04H" xfId="340" xr:uid="{00000000-0005-0000-0000-00005E010000}"/>
    <cellStyle name="R04L" xfId="341" xr:uid="{00000000-0005-0000-0000-00005F010000}"/>
    <cellStyle name="R05A" xfId="342" xr:uid="{00000000-0005-0000-0000-000060010000}"/>
    <cellStyle name="R05B" xfId="343" xr:uid="{00000000-0005-0000-0000-000061010000}"/>
    <cellStyle name="R05H" xfId="344" xr:uid="{00000000-0005-0000-0000-000062010000}"/>
    <cellStyle name="R05L" xfId="345" xr:uid="{00000000-0005-0000-0000-000063010000}"/>
    <cellStyle name="R06A" xfId="346" xr:uid="{00000000-0005-0000-0000-000064010000}"/>
    <cellStyle name="R06B" xfId="347" xr:uid="{00000000-0005-0000-0000-000065010000}"/>
    <cellStyle name="R06H" xfId="348" xr:uid="{00000000-0005-0000-0000-000066010000}"/>
    <cellStyle name="R06L" xfId="349" xr:uid="{00000000-0005-0000-0000-000067010000}"/>
    <cellStyle name="R07A" xfId="350" xr:uid="{00000000-0005-0000-0000-000068010000}"/>
    <cellStyle name="R07B" xfId="351" xr:uid="{00000000-0005-0000-0000-000069010000}"/>
    <cellStyle name="R07H" xfId="352" xr:uid="{00000000-0005-0000-0000-00006A010000}"/>
    <cellStyle name="R07L" xfId="353" xr:uid="{00000000-0005-0000-0000-00006B010000}"/>
    <cellStyle name="Title" xfId="354" builtinId="15" customBuiltin="1"/>
    <cellStyle name="Title 2" xfId="355" xr:uid="{00000000-0005-0000-0000-00006D010000}"/>
    <cellStyle name="Total" xfId="356" builtinId="25" customBuiltin="1"/>
    <cellStyle name="Total 2" xfId="357" xr:uid="{00000000-0005-0000-0000-00006F010000}"/>
    <cellStyle name="Warning Text" xfId="358" builtinId="11" customBuiltin="1"/>
    <cellStyle name="Warning Text 2" xfId="359" xr:uid="{00000000-0005-0000-0000-000071010000}"/>
  </cellStyles>
  <dxfs count="27">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C0C0C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S388"/>
  <sheetViews>
    <sheetView tabSelected="1" view="pageBreakPreview" zoomScale="70" zoomScaleNormal="70" zoomScaleSheetLayoutView="70" zoomScalePageLayoutView="50" workbookViewId="0">
      <selection activeCell="O54" sqref="O54"/>
    </sheetView>
  </sheetViews>
  <sheetFormatPr defaultColWidth="11.42578125" defaultRowHeight="15"/>
  <cols>
    <col min="1" max="1" width="4.7109375" style="127" customWidth="1"/>
    <col min="2" max="2" width="7.85546875" style="126" customWidth="1"/>
    <col min="3" max="3" width="1.85546875" style="127" customWidth="1"/>
    <col min="4" max="4" width="56" style="127" customWidth="1"/>
    <col min="5" max="5" width="51.5703125" style="127" customWidth="1"/>
    <col min="6" max="6" width="17.5703125" style="127" customWidth="1"/>
    <col min="7" max="7" width="20.7109375" style="127" customWidth="1"/>
    <col min="8" max="8" width="20" style="127" customWidth="1"/>
    <col min="9" max="9" width="10" style="127" customWidth="1"/>
    <col min="10" max="10" width="17" style="127" customWidth="1"/>
    <col min="11" max="11" width="11.140625" style="127" customWidth="1"/>
    <col min="12" max="12" width="21.140625" style="127" customWidth="1"/>
    <col min="13" max="13" width="17" style="127" customWidth="1"/>
    <col min="14" max="14" width="21.85546875" style="127" customWidth="1"/>
    <col min="15" max="15" width="11.42578125" style="127" customWidth="1"/>
    <col min="16" max="16" width="20.5703125" style="127" bestFit="1" customWidth="1"/>
    <col min="17" max="16384" width="11.42578125" style="127"/>
  </cols>
  <sheetData>
    <row r="1" spans="1:14" ht="15.75">
      <c r="A1" s="738" t="s">
        <v>414</v>
      </c>
    </row>
    <row r="2" spans="1:14" ht="15.75">
      <c r="A2" s="738" t="s">
        <v>414</v>
      </c>
    </row>
    <row r="3" spans="1:14" ht="15.75">
      <c r="D3"/>
      <c r="E3" s="128"/>
      <c r="F3" s="128"/>
      <c r="G3" s="129"/>
      <c r="I3" s="130"/>
      <c r="J3" s="130"/>
      <c r="K3" s="130"/>
      <c r="N3" s="127" t="s">
        <v>414</v>
      </c>
    </row>
    <row r="4" spans="1:14">
      <c r="I4" s="127" t="s">
        <v>554</v>
      </c>
      <c r="L4" s="297">
        <v>2025</v>
      </c>
    </row>
    <row r="5" spans="1:14">
      <c r="D5" s="132"/>
      <c r="E5" s="132"/>
      <c r="F5" s="17" t="s">
        <v>329</v>
      </c>
      <c r="G5" s="133"/>
      <c r="H5" s="133"/>
      <c r="J5" s="132"/>
      <c r="K5" s="132"/>
      <c r="L5" s="132"/>
      <c r="M5" s="134"/>
    </row>
    <row r="6" spans="1:14">
      <c r="D6" s="132"/>
      <c r="E6" s="135"/>
      <c r="F6" s="17" t="s">
        <v>203</v>
      </c>
      <c r="G6" s="133"/>
      <c r="H6" s="133"/>
      <c r="J6" s="135"/>
      <c r="K6" s="132"/>
      <c r="L6" s="132"/>
      <c r="M6" s="134"/>
    </row>
    <row r="7" spans="1:14">
      <c r="D7" s="132"/>
      <c r="E7" s="132"/>
      <c r="F7" s="2" t="str">
        <f>"Utilizing  Actual/Projected FERC Form 1 Data"</f>
        <v>Utilizing  Actual/Projected FERC Form 1 Data</v>
      </c>
      <c r="G7" s="133"/>
      <c r="H7" s="133"/>
      <c r="J7" s="132"/>
      <c r="K7" s="132"/>
      <c r="L7" s="132"/>
      <c r="M7" s="134"/>
    </row>
    <row r="8" spans="1:14">
      <c r="B8" s="136"/>
      <c r="C8" s="137"/>
      <c r="D8" s="132"/>
      <c r="H8" s="138"/>
      <c r="I8" s="138"/>
      <c r="J8" s="138"/>
      <c r="K8" s="138"/>
      <c r="L8" s="132"/>
      <c r="M8" s="132"/>
    </row>
    <row r="9" spans="1:14" ht="15.75">
      <c r="B9" s="136"/>
      <c r="C9" s="137"/>
      <c r="D9"/>
      <c r="E9" s="132"/>
      <c r="F9" s="139" t="s">
        <v>801</v>
      </c>
      <c r="G9" s="140"/>
      <c r="H9" s="132"/>
      <c r="I9" s="132"/>
      <c r="J9" s="132"/>
      <c r="K9" s="132"/>
      <c r="L9"/>
      <c r="M9" s="132"/>
    </row>
    <row r="10" spans="1:14">
      <c r="B10" s="136"/>
      <c r="C10" s="137"/>
      <c r="D10" s="132"/>
      <c r="E10" s="132"/>
      <c r="F10" s="141"/>
      <c r="G10" s="140"/>
      <c r="H10" s="132"/>
      <c r="I10" s="132"/>
      <c r="J10" s="132"/>
      <c r="K10" s="132"/>
      <c r="L10"/>
      <c r="M10" s="132"/>
    </row>
    <row r="11" spans="1:14">
      <c r="B11" s="136" t="s">
        <v>467</v>
      </c>
      <c r="C11" s="137"/>
      <c r="D11" s="132"/>
      <c r="E11" s="132"/>
      <c r="F11" s="132"/>
      <c r="G11" s="140"/>
      <c r="H11" s="132"/>
      <c r="I11" s="132"/>
      <c r="J11" s="132"/>
      <c r="K11" s="132"/>
      <c r="L11" s="137" t="s">
        <v>415</v>
      </c>
      <c r="M11" s="132"/>
    </row>
    <row r="12" spans="1:14" ht="15.75" thickBot="1">
      <c r="B12" s="142" t="s">
        <v>417</v>
      </c>
      <c r="C12" s="137"/>
      <c r="D12" s="132"/>
      <c r="E12" s="137"/>
      <c r="F12" s="132"/>
      <c r="G12" s="132"/>
      <c r="H12" s="132"/>
      <c r="I12" s="132"/>
      <c r="J12" s="132"/>
      <c r="K12" s="132"/>
      <c r="L12" s="143" t="s">
        <v>468</v>
      </c>
      <c r="M12" s="132"/>
    </row>
    <row r="13" spans="1:14">
      <c r="B13" s="136">
        <v>1</v>
      </c>
      <c r="C13" s="137"/>
      <c r="D13" s="133" t="s">
        <v>411</v>
      </c>
      <c r="E13" s="132" t="str">
        <f>"(ln "&amp;B199&amp;")"</f>
        <v>(ln 113)</v>
      </c>
      <c r="F13" s="132"/>
      <c r="G13" s="135"/>
      <c r="H13" s="144"/>
      <c r="I13" s="132"/>
      <c r="J13" s="132"/>
      <c r="K13" s="132"/>
      <c r="L13" s="145">
        <f>+L199</f>
        <v>507686124.03842551</v>
      </c>
      <c r="M13" s="145"/>
    </row>
    <row r="14" spans="1:14" ht="15.75" thickBot="1">
      <c r="B14" s="136"/>
      <c r="C14" s="137"/>
      <c r="E14" s="146"/>
      <c r="F14" s="135"/>
      <c r="G14" s="143" t="s">
        <v>418</v>
      </c>
      <c r="H14" s="135"/>
      <c r="I14" s="147" t="s">
        <v>419</v>
      </c>
      <c r="J14" s="147"/>
      <c r="K14" s="132"/>
      <c r="L14" s="135"/>
      <c r="M14" s="132"/>
    </row>
    <row r="15" spans="1:14">
      <c r="B15" s="136">
        <f>+B13+1</f>
        <v>2</v>
      </c>
      <c r="C15" s="137"/>
      <c r="D15" s="133" t="s">
        <v>466</v>
      </c>
      <c r="E15" s="146" t="str">
        <f>"(Worksheet E,  ln  "&amp;'WS E Rev Credits'!A31&amp;") (Note A) "</f>
        <v xml:space="preserve">(Worksheet E,  ln  8) (Note A) </v>
      </c>
      <c r="F15" s="135"/>
      <c r="G15" s="148">
        <f>+'WS E Rev Credits'!K31</f>
        <v>1980384.8640000001</v>
      </c>
      <c r="H15" s="135"/>
      <c r="I15" s="149" t="s">
        <v>428</v>
      </c>
      <c r="J15" s="150">
        <v>1</v>
      </c>
      <c r="K15" s="135"/>
      <c r="L15" s="151">
        <f>+J15*G15</f>
        <v>1980384.8640000001</v>
      </c>
      <c r="M15" s="151"/>
    </row>
    <row r="16" spans="1:14">
      <c r="B16" s="136"/>
      <c r="C16" s="137"/>
      <c r="D16" s="133"/>
      <c r="E16" s="146"/>
      <c r="F16" s="135"/>
      <c r="G16" s="148"/>
      <c r="H16" s="135"/>
      <c r="I16" s="149"/>
      <c r="J16" s="150"/>
      <c r="K16" s="135"/>
      <c r="L16" s="151"/>
      <c r="M16" s="132"/>
    </row>
    <row r="17" spans="2:13">
      <c r="B17" s="136">
        <f>+B15+1</f>
        <v>3</v>
      </c>
      <c r="C17" s="137"/>
      <c r="D17" s="133" t="s">
        <v>555</v>
      </c>
      <c r="E17" s="127" t="str">
        <f>"Worksheet E, ln "&amp;'WS E Rev Credits'!A33&amp;") (Note X) "</f>
        <v xml:space="preserve">Worksheet E, ln 9) (Note X) </v>
      </c>
      <c r="F17" s="135"/>
      <c r="L17" s="131">
        <f>'WS E Rev Credits'!K33</f>
        <v>0</v>
      </c>
      <c r="M17" s="132"/>
    </row>
    <row r="18" spans="2:13" ht="30.75" thickBot="1">
      <c r="B18" s="136">
        <f>+B17+1</f>
        <v>4</v>
      </c>
      <c r="C18" s="137"/>
      <c r="D18" s="152" t="s">
        <v>252</v>
      </c>
      <c r="E18" s="146" t="str">
        <f>"(ln "&amp;B13&amp;"  less ln " &amp;B15&amp;" plus ln 3)"</f>
        <v>(ln 1  less ln 2 plus ln 3)</v>
      </c>
      <c r="F18" s="132"/>
      <c r="H18" s="135"/>
      <c r="I18" s="149"/>
      <c r="J18" s="135"/>
      <c r="K18" s="135"/>
      <c r="L18" s="153">
        <f>+L13-L15+L17</f>
        <v>505705739.17442548</v>
      </c>
      <c r="M18" s="426"/>
    </row>
    <row r="19" spans="2:13" ht="15.75" thickTop="1">
      <c r="B19" s="136"/>
      <c r="C19" s="137"/>
      <c r="D19" s="133"/>
      <c r="E19" s="146"/>
      <c r="F19" s="132"/>
      <c r="H19" s="135"/>
      <c r="I19" s="149"/>
      <c r="J19" s="135"/>
      <c r="K19" s="135"/>
      <c r="L19" s="151"/>
      <c r="M19" s="132"/>
    </row>
    <row r="20" spans="2:13">
      <c r="B20" s="136"/>
      <c r="C20" s="137"/>
      <c r="D20" s="133"/>
      <c r="E20" s="146"/>
      <c r="F20" s="132"/>
      <c r="H20" s="135"/>
      <c r="I20" s="149"/>
      <c r="J20" s="135"/>
      <c r="K20" s="135"/>
      <c r="L20" s="151"/>
      <c r="M20" s="132"/>
    </row>
    <row r="21" spans="2:13" ht="15" customHeight="1">
      <c r="B21" s="1154" t="str">
        <f>"MEMO:  The Carrying Charge Calculations on lines "&amp;B27&amp;" to "&amp;B34&amp;" below are used in calculating project revenue requirements billed through PJM Schedule 12, Transmission Enhancement Charges.  The total non-incentive revenue requirements for these projects shown on line "&amp;B24&amp;" is included in the total on line "&amp;B18&amp;"."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1" s="1154"/>
      <c r="D21" s="1154"/>
      <c r="E21" s="1154"/>
      <c r="F21" s="1154"/>
      <c r="G21" s="1154"/>
      <c r="H21" s="1154"/>
      <c r="I21" s="1154"/>
    </row>
    <row r="22" spans="2:13" ht="35.25" customHeight="1">
      <c r="B22" s="1154"/>
      <c r="C22" s="1154"/>
      <c r="D22" s="1154"/>
      <c r="E22" s="1154"/>
      <c r="F22" s="1154"/>
      <c r="G22" s="1154"/>
      <c r="H22" s="1154"/>
      <c r="I22" s="1154"/>
    </row>
    <row r="23" spans="2:13" ht="15" customHeight="1">
      <c r="B23" s="154"/>
      <c r="C23" s="154"/>
      <c r="D23" s="154"/>
      <c r="E23" s="154"/>
      <c r="F23" s="154"/>
      <c r="G23" s="154"/>
      <c r="H23" s="154"/>
      <c r="I23" s="154"/>
    </row>
    <row r="24" spans="2:13">
      <c r="B24" s="136">
        <f>+B18+1</f>
        <v>5</v>
      </c>
      <c r="C24" s="137"/>
      <c r="D24" s="133" t="s">
        <v>556</v>
      </c>
      <c r="E24" s="146"/>
      <c r="F24" s="135"/>
      <c r="G24" s="908">
        <f>'WS K TRUE-UP RTEP RR'!N22</f>
        <v>47685791.512880437</v>
      </c>
      <c r="H24" s="135"/>
      <c r="I24" s="149" t="s">
        <v>428</v>
      </c>
      <c r="J24" s="150">
        <v>1</v>
      </c>
      <c r="K24" s="132"/>
      <c r="L24" s="151">
        <f>+J24*G24</f>
        <v>47685791.512880437</v>
      </c>
      <c r="M24" s="426"/>
    </row>
    <row r="25" spans="2:13">
      <c r="B25" s="136"/>
      <c r="C25" s="137"/>
      <c r="D25" s="133"/>
      <c r="E25" s="146"/>
      <c r="F25" s="135"/>
      <c r="G25" s="148"/>
      <c r="H25" s="135"/>
      <c r="I25" s="135"/>
      <c r="J25" s="150"/>
      <c r="K25" s="132"/>
      <c r="L25" s="151"/>
      <c r="M25" s="132"/>
    </row>
    <row r="26" spans="2:13">
      <c r="B26" s="136">
        <f>+B24+1</f>
        <v>6</v>
      </c>
      <c r="C26" s="137"/>
      <c r="D26" s="133" t="s">
        <v>176</v>
      </c>
      <c r="E26" s="146"/>
      <c r="F26" s="132"/>
      <c r="G26" s="155"/>
      <c r="H26" s="132"/>
      <c r="J26" s="132"/>
      <c r="K26" s="132"/>
      <c r="M26" s="426"/>
    </row>
    <row r="27" spans="2:13">
      <c r="B27" s="136">
        <f>B26+1</f>
        <v>7</v>
      </c>
      <c r="C27" s="137"/>
      <c r="D27" s="132" t="s">
        <v>48</v>
      </c>
      <c r="E27" s="132" t="str">
        <f>"( (ln "&amp;B13&amp;"- ln "&amp;B157&amp;")/((ln "&amp;$B$83&amp;" ) x 100) )"</f>
        <v>( (ln 1- ln 80)/((ln 33 ) x 100) )</v>
      </c>
      <c r="F27" s="137"/>
      <c r="G27" s="137"/>
      <c r="H27" s="137"/>
      <c r="I27" s="156"/>
      <c r="J27" s="156"/>
      <c r="K27" s="156"/>
      <c r="L27" s="157">
        <f>IF((L83)=0,0,(L13-L157)/(L83))</f>
        <v>0.1424209417996474</v>
      </c>
      <c r="M27" s="132"/>
    </row>
    <row r="28" spans="2:13">
      <c r="B28" s="136">
        <f>B27+1</f>
        <v>8</v>
      </c>
      <c r="C28" s="137"/>
      <c r="D28" s="132" t="s">
        <v>49</v>
      </c>
      <c r="E28" s="132" t="str">
        <f>"(ln "&amp;B27&amp;" / 12)"</f>
        <v>(ln 7 / 12)</v>
      </c>
      <c r="F28" s="137"/>
      <c r="G28" s="137"/>
      <c r="H28" s="137"/>
      <c r="I28" s="156"/>
      <c r="J28" s="156"/>
      <c r="K28" s="156"/>
      <c r="L28" s="157">
        <f>L27/12</f>
        <v>1.1868411816637283E-2</v>
      </c>
      <c r="M28" s="132"/>
    </row>
    <row r="29" spans="2:13">
      <c r="B29" s="136"/>
      <c r="C29" s="137"/>
      <c r="D29" s="132"/>
      <c r="E29" s="132"/>
      <c r="F29" s="137"/>
      <c r="G29" s="137"/>
      <c r="H29" s="137"/>
      <c r="I29" s="156"/>
      <c r="J29" s="156"/>
      <c r="K29" s="156"/>
      <c r="L29" s="157"/>
      <c r="M29" s="132"/>
    </row>
    <row r="30" spans="2:13">
      <c r="B30" s="136">
        <f>B28+1</f>
        <v>9</v>
      </c>
      <c r="C30" s="137"/>
      <c r="D30" s="133" t="str">
        <f>"NET PLANT CARRYING CHARGE ON LINE "&amp;B27&amp;" , w/o depreciation or ROE incentives (Note B)"</f>
        <v>NET PLANT CARRYING CHARGE ON LINE 7 , w/o depreciation or ROE incentives (Note B)</v>
      </c>
      <c r="E30" s="132"/>
      <c r="F30" s="137"/>
      <c r="G30" s="137"/>
      <c r="H30" s="137"/>
      <c r="I30" s="156"/>
      <c r="J30" s="156"/>
      <c r="K30" s="156"/>
      <c r="L30" s="157"/>
      <c r="M30" s="132"/>
    </row>
    <row r="31" spans="2:13">
      <c r="B31" s="136">
        <f>B30+1</f>
        <v>10</v>
      </c>
      <c r="C31" s="137"/>
      <c r="D31" s="132" t="s">
        <v>48</v>
      </c>
      <c r="E31" s="132" t="str">
        <f>"( (ln "&amp;B13&amp;"- ln "&amp;B157&amp;" - ln "&amp;B161&amp;")/((ln "&amp;$B$83&amp;") x 100) )"</f>
        <v>( (ln 1- ln 80 - ln 83)/((ln 33) x 100) )</v>
      </c>
      <c r="F31" s="137"/>
      <c r="G31" s="137"/>
      <c r="H31" s="137"/>
      <c r="I31" s="156"/>
      <c r="J31" s="156"/>
      <c r="K31" s="156"/>
      <c r="L31" s="157">
        <f>IF(L83=0,0,(L13-L157-L161)/L83)</f>
        <v>0.11032660055737779</v>
      </c>
      <c r="M31" s="132"/>
    </row>
    <row r="32" spans="2:13">
      <c r="B32" s="136"/>
      <c r="C32" s="137"/>
      <c r="D32" s="132"/>
      <c r="E32" s="132"/>
      <c r="F32" s="137"/>
      <c r="G32" s="137"/>
      <c r="H32" s="137"/>
      <c r="I32" s="156"/>
      <c r="J32" s="156"/>
      <c r="K32" s="156"/>
      <c r="L32" s="157"/>
      <c r="M32" s="132"/>
    </row>
    <row r="33" spans="2:13">
      <c r="B33" s="136">
        <f>B31+1</f>
        <v>11</v>
      </c>
      <c r="C33" s="137"/>
      <c r="D33" s="133" t="str">
        <f>"NET PLANT CARRYING CHARGE ON LINE "&amp;B31&amp;", w/o Return, income taxes or ROE incentives (Note B)"</f>
        <v>NET PLANT CARRYING CHARGE ON LINE 10, w/o Return, income taxes or ROE incentives (Note B)</v>
      </c>
      <c r="E33" s="132"/>
      <c r="F33" s="41"/>
      <c r="G33" s="41"/>
      <c r="H33" s="41"/>
      <c r="I33" s="41"/>
      <c r="J33" s="41"/>
      <c r="K33" s="41"/>
      <c r="L33" s="41"/>
      <c r="M33"/>
    </row>
    <row r="34" spans="2:13">
      <c r="B34" s="136">
        <f>B33+1</f>
        <v>12</v>
      </c>
      <c r="C34" s="137"/>
      <c r="D34" s="132" t="s">
        <v>48</v>
      </c>
      <c r="E34" s="132" t="str">
        <f>"( (ln "&amp;B13&amp;" - ln "&amp;B157&amp;" - ln "&amp;B161&amp;" - ln "&amp;B189&amp;" - ln "&amp;B191&amp;") /((ln "&amp;$B$83&amp;") x 100) )"</f>
        <v>( (ln 1 - ln 80 - ln 83 - ln 108 - ln 109) /((ln 33) x 100) )</v>
      </c>
      <c r="F34" s="41"/>
      <c r="G34" s="41"/>
      <c r="H34" s="41"/>
      <c r="I34" s="41"/>
      <c r="J34" s="41"/>
      <c r="K34" s="41"/>
      <c r="L34" s="158">
        <f>IF(L83=0,0,(L13-L157-L161-L189-L191)/L83)</f>
        <v>2.3319127984315499E-2</v>
      </c>
      <c r="M34"/>
    </row>
    <row r="35" spans="2:13">
      <c r="B35" s="136"/>
      <c r="C35" s="137"/>
      <c r="D35" s="132"/>
      <c r="E35" s="132"/>
      <c r="F35" s="137"/>
      <c r="G35" s="137"/>
      <c r="H35" s="137"/>
      <c r="I35" s="156"/>
      <c r="J35" s="156"/>
      <c r="K35" s="156"/>
      <c r="L35" s="157"/>
      <c r="M35" s="159"/>
    </row>
    <row r="36" spans="2:13">
      <c r="B36" s="136">
        <f>B34+1</f>
        <v>13</v>
      </c>
      <c r="C36" s="137"/>
      <c r="D36" s="133" t="s">
        <v>557</v>
      </c>
      <c r="E36" s="132"/>
      <c r="F36" s="137"/>
      <c r="G36" s="137"/>
      <c r="H36" s="137"/>
      <c r="I36" s="156"/>
      <c r="J36" s="156"/>
      <c r="K36" s="156"/>
      <c r="L36" s="295">
        <f>+'WS J PROJECTED RTEP RR'!O26</f>
        <v>0</v>
      </c>
      <c r="M36" s="132"/>
    </row>
    <row r="37" spans="2:13">
      <c r="B37" s="136"/>
      <c r="C37" s="137"/>
      <c r="E37" s="132"/>
      <c r="F37" s="137"/>
      <c r="G37" s="137"/>
      <c r="H37" s="137"/>
      <c r="I37" s="156"/>
      <c r="J37" s="156"/>
      <c r="K37" s="156"/>
      <c r="L37" s="157"/>
      <c r="M37" s="132"/>
    </row>
    <row r="38" spans="2:13">
      <c r="B38" s="127"/>
      <c r="C38" s="137"/>
      <c r="E38" s="132"/>
      <c r="F38" s="137"/>
      <c r="G38" s="137"/>
      <c r="H38" s="137"/>
      <c r="I38" s="156"/>
      <c r="J38" s="156"/>
      <c r="K38" s="156"/>
      <c r="L38" s="157"/>
      <c r="M38" s="132"/>
    </row>
    <row r="39" spans="2:13" ht="15.75">
      <c r="B39" s="136">
        <f>+B36+1</f>
        <v>14</v>
      </c>
      <c r="C39" s="137"/>
      <c r="D39" s="1160" t="s">
        <v>215</v>
      </c>
      <c r="E39" s="1160"/>
      <c r="F39" s="1160"/>
      <c r="G39" s="1160"/>
      <c r="H39" s="1160"/>
      <c r="I39" s="1160"/>
      <c r="J39" s="1160"/>
      <c r="K39" s="1160"/>
      <c r="L39" s="1160"/>
      <c r="M39" s="132"/>
    </row>
    <row r="40" spans="2:13">
      <c r="B40" s="136"/>
      <c r="C40" s="137"/>
      <c r="E40" s="132"/>
      <c r="F40" s="137"/>
      <c r="G40" s="137"/>
      <c r="H40" s="137"/>
      <c r="I40" s="156"/>
      <c r="J40" s="156"/>
      <c r="K40" s="156"/>
      <c r="L40" s="157"/>
      <c r="M40" s="132"/>
    </row>
    <row r="41" spans="2:13">
      <c r="B41" s="136">
        <f>+B39+1</f>
        <v>15</v>
      </c>
      <c r="C41" s="137"/>
      <c r="D41" s="133" t="s">
        <v>217</v>
      </c>
      <c r="E41" s="132" t="str">
        <f>"Line "&amp;B137&amp;" Below"</f>
        <v>Line 63 Below</v>
      </c>
      <c r="F41" s="137"/>
      <c r="H41" s="137"/>
      <c r="I41" s="156"/>
      <c r="J41" s="156"/>
      <c r="K41" s="156"/>
      <c r="L41" s="160">
        <f>+G137</f>
        <v>1312246.8800000001</v>
      </c>
      <c r="M41" s="132"/>
    </row>
    <row r="42" spans="2:13">
      <c r="B42" s="136">
        <f>+B41+1</f>
        <v>16</v>
      </c>
      <c r="C42" s="137"/>
      <c r="D42" s="133" t="s">
        <v>282</v>
      </c>
      <c r="E42" s="132"/>
      <c r="F42" s="137"/>
      <c r="H42" s="137"/>
      <c r="I42" s="156"/>
      <c r="J42" s="156"/>
      <c r="K42" s="156"/>
      <c r="L42" s="116">
        <f>'WS F Misc Exp'!D28</f>
        <v>0</v>
      </c>
      <c r="M42" s="132"/>
    </row>
    <row r="43" spans="2:13">
      <c r="B43" s="136">
        <f>+B42+1</f>
        <v>17</v>
      </c>
      <c r="C43" s="137"/>
      <c r="D43" s="133" t="s">
        <v>283</v>
      </c>
      <c r="E43" s="132"/>
      <c r="F43" s="137"/>
      <c r="H43" s="137"/>
      <c r="I43" s="156"/>
      <c r="J43" s="156"/>
      <c r="K43" s="156"/>
      <c r="L43" s="116">
        <f>'WS F Misc Exp'!D32</f>
        <v>0</v>
      </c>
      <c r="M43" s="132"/>
    </row>
    <row r="44" spans="2:13">
      <c r="B44" s="136"/>
      <c r="C44" s="137"/>
      <c r="E44" s="132"/>
      <c r="F44" s="137"/>
      <c r="H44" s="137"/>
      <c r="I44" s="156"/>
      <c r="J44" s="156"/>
      <c r="K44" s="156"/>
      <c r="L44" s="137"/>
      <c r="M44" s="132"/>
    </row>
    <row r="45" spans="2:13" ht="15.75" thickBot="1">
      <c r="B45" s="136">
        <f>+B43+1</f>
        <v>18</v>
      </c>
      <c r="C45" s="137"/>
      <c r="D45" s="133" t="s">
        <v>216</v>
      </c>
      <c r="E45" s="144" t="str">
        <f>"(Line "&amp;B41&amp;" - Line "&amp;B42&amp;" - Line "&amp;B43&amp;")"</f>
        <v>(Line 15 - Line 16 - Line 17)</v>
      </c>
      <c r="F45" s="137"/>
      <c r="H45" s="137"/>
      <c r="I45" s="156"/>
      <c r="J45" s="156"/>
      <c r="K45" s="156"/>
      <c r="L45" s="161">
        <f>+L41-L42-L43</f>
        <v>1312246.8800000001</v>
      </c>
      <c r="M45" s="132"/>
    </row>
    <row r="46" spans="2:13" ht="15.75" thickTop="1">
      <c r="B46" s="136"/>
      <c r="C46" s="137"/>
      <c r="E46" s="132"/>
      <c r="F46" s="137"/>
      <c r="G46" s="137"/>
      <c r="H46" s="137"/>
      <c r="I46" s="156"/>
      <c r="J46" s="156"/>
      <c r="K46" s="156"/>
      <c r="L46" s="157"/>
      <c r="M46" s="132"/>
    </row>
    <row r="47" spans="2:13">
      <c r="B47" s="136"/>
      <c r="C47" s="137"/>
      <c r="E47" s="132"/>
      <c r="F47" s="137"/>
      <c r="G47" s="137"/>
      <c r="H47" s="137"/>
      <c r="I47" s="156"/>
      <c r="J47" s="156"/>
      <c r="K47" s="156"/>
      <c r="L47" s="157"/>
      <c r="M47" s="132"/>
    </row>
    <row r="48" spans="2:13">
      <c r="B48" s="136"/>
      <c r="C48" s="137"/>
      <c r="E48" s="132"/>
      <c r="F48" s="137"/>
      <c r="G48" s="137"/>
      <c r="H48" s="137"/>
      <c r="I48" s="156"/>
      <c r="J48" s="156"/>
      <c r="K48" s="156"/>
      <c r="L48" s="157"/>
      <c r="M48" s="132"/>
    </row>
    <row r="49" spans="2:14">
      <c r="D49" s="132"/>
      <c r="E49" s="132"/>
      <c r="G49" s="144"/>
      <c r="H49" s="132"/>
      <c r="I49" s="132"/>
      <c r="J49" s="132"/>
      <c r="K49" s="132"/>
      <c r="L49" s="132"/>
      <c r="M49" s="162"/>
    </row>
    <row r="50" spans="2:14">
      <c r="D50" s="132"/>
      <c r="E50" s="132"/>
      <c r="F50" s="137"/>
      <c r="G50" s="144"/>
      <c r="H50" s="132"/>
      <c r="I50" s="132"/>
      <c r="J50" s="132"/>
      <c r="K50" s="132"/>
      <c r="L50" s="132"/>
      <c r="M50" s="162"/>
      <c r="N50" s="163"/>
    </row>
    <row r="51" spans="2:14">
      <c r="D51" s="132"/>
      <c r="E51" s="132"/>
      <c r="F51" s="137" t="str">
        <f>F5</f>
        <v>AEPTCo subsidiaries in PJM</v>
      </c>
      <c r="G51" s="144"/>
      <c r="H51" s="132"/>
      <c r="I51" s="132"/>
      <c r="J51" s="132"/>
      <c r="K51" s="132"/>
      <c r="L51" s="132"/>
      <c r="M51" s="162"/>
      <c r="N51" s="163"/>
    </row>
    <row r="52" spans="2:14">
      <c r="D52" s="132"/>
      <c r="E52" s="135"/>
      <c r="F52" s="137" t="str">
        <f>F6</f>
        <v>Transmission Cost of Service Formula Rate</v>
      </c>
      <c r="G52" s="135"/>
      <c r="H52" s="135"/>
      <c r="I52" s="135"/>
      <c r="J52" s="135"/>
      <c r="K52" s="135"/>
      <c r="L52" s="135"/>
      <c r="M52" s="164"/>
      <c r="N52" s="165"/>
    </row>
    <row r="53" spans="2:14">
      <c r="D53" s="132"/>
      <c r="E53" s="135"/>
      <c r="F53" s="149" t="str">
        <f>F7</f>
        <v>Utilizing  Actual/Projected FERC Form 1 Data</v>
      </c>
      <c r="G53" s="135"/>
      <c r="H53" s="135"/>
      <c r="I53" s="135"/>
      <c r="J53" s="135"/>
      <c r="K53" s="135"/>
      <c r="L53" s="135"/>
      <c r="M53" s="166"/>
      <c r="N53" s="165"/>
    </row>
    <row r="54" spans="2:14">
      <c r="D54" s="132"/>
      <c r="E54" s="135"/>
      <c r="F54" s="137"/>
      <c r="G54" s="135"/>
      <c r="H54" s="135"/>
      <c r="I54" s="135"/>
      <c r="J54" s="135"/>
      <c r="K54" s="135"/>
      <c r="L54" s="135"/>
      <c r="M54" s="135"/>
      <c r="N54" s="165"/>
    </row>
    <row r="55" spans="2:14">
      <c r="D55" s="132"/>
      <c r="E55" s="135"/>
      <c r="F55" s="137" t="str">
        <f>F9</f>
        <v>AEP Indiana Michigan Transmission Company</v>
      </c>
      <c r="G55" s="135"/>
      <c r="H55" s="135"/>
      <c r="I55" s="135"/>
      <c r="J55" s="135"/>
      <c r="K55" s="135"/>
      <c r="L55" s="135"/>
      <c r="M55" s="135"/>
      <c r="N55" s="165"/>
    </row>
    <row r="56" spans="2:14">
      <c r="D56" s="132"/>
      <c r="E56" s="149"/>
      <c r="F56" s="149"/>
      <c r="G56" s="149"/>
      <c r="H56" s="149"/>
      <c r="I56" s="149"/>
      <c r="J56" s="149"/>
      <c r="K56" s="149"/>
      <c r="L56" s="135"/>
      <c r="M56" s="135"/>
      <c r="N56" s="165"/>
    </row>
    <row r="57" spans="2:14">
      <c r="D57" s="137" t="s">
        <v>421</v>
      </c>
      <c r="E57" s="137" t="s">
        <v>422</v>
      </c>
      <c r="F57" s="137"/>
      <c r="G57" s="137" t="s">
        <v>423</v>
      </c>
      <c r="H57" s="135" t="s">
        <v>414</v>
      </c>
      <c r="I57" s="1155" t="s">
        <v>424</v>
      </c>
      <c r="J57" s="1156"/>
      <c r="K57" s="135"/>
      <c r="L57" s="138" t="s">
        <v>425</v>
      </c>
      <c r="M57" s="135"/>
    </row>
    <row r="58" spans="2:14">
      <c r="B58" s="127"/>
      <c r="D58" s="41"/>
      <c r="E58" s="41"/>
      <c r="F58" s="41"/>
      <c r="G58" s="160"/>
      <c r="H58" s="135"/>
      <c r="I58" s="135"/>
      <c r="J58" s="168"/>
      <c r="K58" s="135"/>
      <c r="M58" s="135"/>
    </row>
    <row r="59" spans="2:14" ht="15.75">
      <c r="B59" s="169"/>
      <c r="C59" s="137"/>
      <c r="D59" s="41"/>
      <c r="E59" s="170" t="s">
        <v>394</v>
      </c>
      <c r="F59" s="171"/>
      <c r="G59" s="135"/>
      <c r="H59" s="135"/>
      <c r="I59" s="135"/>
      <c r="J59" s="137"/>
      <c r="K59" s="135"/>
      <c r="L59" s="172" t="s">
        <v>418</v>
      </c>
      <c r="M59" s="135"/>
      <c r="N59" s="163"/>
    </row>
    <row r="60" spans="2:14" ht="15.75">
      <c r="B60" s="127"/>
      <c r="C60" s="137"/>
      <c r="D60" s="173" t="s">
        <v>393</v>
      </c>
      <c r="E60" s="174" t="s">
        <v>412</v>
      </c>
      <c r="F60" s="135"/>
      <c r="G60" s="173" t="s">
        <v>380</v>
      </c>
      <c r="H60" s="175"/>
      <c r="I60" s="1157" t="s">
        <v>419</v>
      </c>
      <c r="J60" s="1158"/>
      <c r="K60" s="175"/>
      <c r="L60" s="173" t="s">
        <v>415</v>
      </c>
      <c r="M60" s="135"/>
    </row>
    <row r="61" spans="2:14">
      <c r="B61" s="136" t="str">
        <f>B11</f>
        <v>Line</v>
      </c>
      <c r="C61" s="137"/>
      <c r="D61" s="132"/>
      <c r="E61" s="135"/>
      <c r="F61" s="135"/>
      <c r="G61" s="176" t="s">
        <v>156</v>
      </c>
      <c r="H61" s="135"/>
      <c r="I61" s="135"/>
      <c r="J61" s="135"/>
      <c r="K61" s="135"/>
      <c r="L61" s="135"/>
      <c r="M61" s="135"/>
    </row>
    <row r="62" spans="2:14" ht="15.75" thickBot="1">
      <c r="B62" s="142" t="str">
        <f>B12</f>
        <v>No.</v>
      </c>
      <c r="C62" s="137"/>
      <c r="D62" s="132" t="s">
        <v>381</v>
      </c>
      <c r="E62" s="149"/>
      <c r="F62" s="149"/>
      <c r="G62" s="135"/>
      <c r="H62" s="135"/>
      <c r="I62" s="149"/>
      <c r="J62" s="135"/>
      <c r="K62" s="135"/>
      <c r="L62" s="135"/>
      <c r="M62" s="135"/>
    </row>
    <row r="63" spans="2:14">
      <c r="B63" s="136">
        <f>+B45+1</f>
        <v>19</v>
      </c>
      <c r="C63" s="178"/>
      <c r="D63" s="179" t="s">
        <v>427</v>
      </c>
      <c r="E63" s="135" t="str">
        <f>"(Worksheet A ln "&amp;'WS A - Rate Base Support'!A23&amp;"."&amp;'WS A - Rate Base Support'!C8 &amp;" &amp; Ln "&amp;B215&amp;")"</f>
        <v>(Worksheet A ln 14.(d) &amp; Ln 117)</v>
      </c>
      <c r="F63" s="180"/>
      <c r="G63" s="148">
        <f>'WS A - Rate Base Support'!C23</f>
        <v>4258089909.3384619</v>
      </c>
      <c r="H63" s="148"/>
      <c r="I63" s="181" t="s">
        <v>428</v>
      </c>
      <c r="J63" s="150">
        <v>1</v>
      </c>
      <c r="K63" s="182"/>
      <c r="L63" s="183">
        <f>+L215</f>
        <v>4126399433.2892313</v>
      </c>
      <c r="M63" s="182"/>
    </row>
    <row r="64" spans="2:14">
      <c r="B64" s="136">
        <f>+B63+1</f>
        <v>20</v>
      </c>
      <c r="C64" s="178"/>
      <c r="D64" s="132" t="s">
        <v>179</v>
      </c>
      <c r="E64" s="135" t="str">
        <f>"(Worksheet A ln "&amp;'WS A - Rate Base Support'!A23&amp;"."&amp;'WS A - Rate Base Support'!D8 &amp;")"</f>
        <v>(Worksheet A ln 14.(e))</v>
      </c>
      <c r="F64" s="180"/>
      <c r="G64" s="148">
        <f>'WS A - Rate Base Support'!D23</f>
        <v>0</v>
      </c>
      <c r="H64" s="148"/>
      <c r="I64" s="181" t="s">
        <v>420</v>
      </c>
      <c r="J64" s="150">
        <f>J140</f>
        <v>0.96907287566652389</v>
      </c>
      <c r="K64" s="182"/>
      <c r="L64" s="183">
        <f>+G64*J64</f>
        <v>0</v>
      </c>
      <c r="M64" s="182"/>
    </row>
    <row r="65" spans="2:13">
      <c r="B65" s="136">
        <f>+B64+1</f>
        <v>21</v>
      </c>
      <c r="C65" s="178"/>
      <c r="D65" s="132" t="s">
        <v>429</v>
      </c>
      <c r="E65" s="135" t="str">
        <f>"(Worksheet A ln "&amp;'WS A - Rate Base Support'!A23&amp;"."&amp;'WS A - Rate Base Support'!E8 &amp;")"</f>
        <v>(Worksheet A ln 14.(h))</v>
      </c>
      <c r="F65" s="135"/>
      <c r="G65" s="148">
        <f>'WS A - Rate Base Support'!E23</f>
        <v>98989007.490769237</v>
      </c>
      <c r="H65" s="148"/>
      <c r="I65" s="149" t="s">
        <v>430</v>
      </c>
      <c r="J65" s="150">
        <f>L235</f>
        <v>0.96907287566652389</v>
      </c>
      <c r="K65" s="135"/>
      <c r="L65" s="148">
        <f>+J65*G65</f>
        <v>95927562.148454815</v>
      </c>
      <c r="M65" s="135"/>
    </row>
    <row r="66" spans="2:13">
      <c r="B66" s="136">
        <f>+B65+1</f>
        <v>22</v>
      </c>
      <c r="C66" s="178"/>
      <c r="D66" s="132" t="s">
        <v>178</v>
      </c>
      <c r="E66" s="135" t="str">
        <f>"(Worksheet A ln "&amp;'WS A - Rate Base Support'!A23&amp;"."&amp;'WS A - Rate Base Support'!F8 &amp;")"</f>
        <v>(Worksheet A ln 14.(i))</v>
      </c>
      <c r="F66" s="135"/>
      <c r="G66" s="148">
        <f>'WS A - Rate Base Support'!F23</f>
        <v>0</v>
      </c>
      <c r="H66" s="148"/>
      <c r="I66" s="149" t="s">
        <v>430</v>
      </c>
      <c r="J66" s="150">
        <f>L235</f>
        <v>0.96907287566652389</v>
      </c>
      <c r="K66" s="135"/>
      <c r="L66" s="148">
        <f>+G66*J66</f>
        <v>0</v>
      </c>
      <c r="M66" s="135"/>
    </row>
    <row r="67" spans="2:13">
      <c r="B67" s="136">
        <f>+B66+1</f>
        <v>23</v>
      </c>
      <c r="C67" s="178"/>
      <c r="D67" s="132" t="s">
        <v>431</v>
      </c>
      <c r="E67" s="135" t="str">
        <f>"(Worksheet A ln "&amp;'WS A - Rate Base Support'!A23&amp;"."&amp;'WS A - Rate Base Support'!G8 &amp;")"</f>
        <v>(Worksheet A ln 14.(j))</v>
      </c>
      <c r="F67" s="135"/>
      <c r="G67" s="148">
        <f>'WS A - Rate Base Support'!G23</f>
        <v>2882888.5384615385</v>
      </c>
      <c r="H67" s="148"/>
      <c r="I67" s="149" t="s">
        <v>430</v>
      </c>
      <c r="J67" s="150">
        <f>L235</f>
        <v>0.96907287566652389</v>
      </c>
      <c r="K67" s="135"/>
      <c r="L67" s="148">
        <f>+J67*G67</f>
        <v>2793729.0861929851</v>
      </c>
      <c r="M67" s="135"/>
    </row>
    <row r="68" spans="2:13">
      <c r="B68" s="136" t="s">
        <v>1066</v>
      </c>
      <c r="C68" s="178"/>
      <c r="D68" s="132" t="s">
        <v>1053</v>
      </c>
      <c r="E68" s="135" t="str">
        <f>"(Worksheet A ln "&amp;'WS A - Rate Base Support'!A23&amp;"."&amp;'WS A - Rate Base Support'!H8 &amp;")"</f>
        <v>(Worksheet A ln 14.(k))</v>
      </c>
      <c r="F68" s="135"/>
      <c r="G68" s="148">
        <f>'WS A - Rate Base Support'!H23</f>
        <v>0</v>
      </c>
      <c r="H68" s="148"/>
      <c r="I68" s="149" t="s">
        <v>1055</v>
      </c>
      <c r="J68" s="150">
        <f>$L$224</f>
        <v>1</v>
      </c>
      <c r="K68" s="135"/>
      <c r="L68" s="237">
        <f t="shared" ref="L68:L69" si="0">+G68*J68</f>
        <v>0</v>
      </c>
      <c r="M68" s="135"/>
    </row>
    <row r="69" spans="2:13" ht="15.75" thickBot="1">
      <c r="B69" s="136" t="s">
        <v>1067</v>
      </c>
      <c r="C69" s="178"/>
      <c r="D69" s="132" t="s">
        <v>1068</v>
      </c>
      <c r="E69" s="135" t="str">
        <f>"(Worksheet A ln "&amp;'WS A - Rate Base Support'!A23&amp;"."&amp;'WS A - Rate Base Support'!I8 &amp;")"</f>
        <v>(Worksheet A ln 14.(l))</v>
      </c>
      <c r="F69" s="135"/>
      <c r="G69" s="184">
        <f>'WS A - Rate Base Support'!I23</f>
        <v>0</v>
      </c>
      <c r="H69" s="148"/>
      <c r="I69" s="149" t="s">
        <v>1055</v>
      </c>
      <c r="J69" s="150">
        <f>$L$224</f>
        <v>1</v>
      </c>
      <c r="K69" s="135"/>
      <c r="L69" s="1127">
        <f t="shared" si="0"/>
        <v>0</v>
      </c>
      <c r="M69" s="135"/>
    </row>
    <row r="70" spans="2:13" ht="15.75">
      <c r="B70" s="136">
        <f>+B67+1</f>
        <v>24</v>
      </c>
      <c r="C70" s="178"/>
      <c r="D70" s="132" t="s">
        <v>379</v>
      </c>
      <c r="E70" s="135" t="str">
        <f>"(Sum of Lines: "&amp;B63&amp;" to "&amp;B67&amp;")"</f>
        <v>(Sum of Lines: 19 to 23)</v>
      </c>
      <c r="F70" s="41"/>
      <c r="G70" s="148">
        <f>SUM(G63:G69)</f>
        <v>4359961805.3676929</v>
      </c>
      <c r="H70" s="148"/>
      <c r="I70" s="185" t="s">
        <v>759</v>
      </c>
      <c r="J70" s="186">
        <f>IF(G70=0,0,L70/G70)</f>
        <v>0.96907287566652378</v>
      </c>
      <c r="K70" s="135"/>
      <c r="L70" s="148">
        <f>SUM(L63:L69)</f>
        <v>4225120724.5238791</v>
      </c>
      <c r="M70" s="135"/>
    </row>
    <row r="71" spans="2:13" ht="15.75">
      <c r="B71" s="136"/>
      <c r="C71" s="137"/>
      <c r="D71" s="132"/>
      <c r="E71" s="167"/>
      <c r="F71" s="41"/>
      <c r="G71" s="148"/>
      <c r="H71" s="148"/>
      <c r="I71" s="185" t="s">
        <v>506</v>
      </c>
      <c r="J71" s="187">
        <f>+IF(L63=0,0,L63/(G63))</f>
        <v>0.96907287566652389</v>
      </c>
      <c r="K71" s="135"/>
      <c r="L71" s="148"/>
      <c r="M71" s="135"/>
    </row>
    <row r="72" spans="2:13">
      <c r="B72" s="136">
        <f>+B70+1</f>
        <v>25</v>
      </c>
      <c r="C72" s="137"/>
      <c r="D72" s="132" t="s">
        <v>361</v>
      </c>
      <c r="E72" s="149"/>
      <c r="F72" s="149"/>
      <c r="G72" s="148"/>
      <c r="H72" s="188"/>
      <c r="I72" s="149"/>
      <c r="J72" s="189"/>
      <c r="K72" s="135"/>
      <c r="L72" s="148"/>
      <c r="M72" s="135"/>
    </row>
    <row r="73" spans="2:13" ht="15.75">
      <c r="B73" s="136">
        <f t="shared" ref="B73:B77" si="1">+B72+1</f>
        <v>26</v>
      </c>
      <c r="C73" s="178"/>
      <c r="D73" s="179" t="str">
        <f>D63</f>
        <v xml:space="preserve">  Transmission</v>
      </c>
      <c r="E73" s="135" t="str">
        <f>"(Worksheet A ln "&amp;'WS A - Rate Base Support'!A42&amp;"."&amp;'WS A - Rate Base Support'!C27 &amp;" &amp; Ln "&amp;'WS A - Rate Base Support'!A64&amp;"."&amp;'WS A - Rate Base Support'!C47&amp;")"</f>
        <v>(Worksheet A ln 28.(d) &amp; Ln 43.(b))</v>
      </c>
      <c r="F73" s="180"/>
      <c r="G73" s="183">
        <f>'WS A - Rate Base Support'!C42</f>
        <v>580178225.99000001</v>
      </c>
      <c r="H73" s="148"/>
      <c r="I73" s="1081" t="s">
        <v>428</v>
      </c>
      <c r="J73" s="190">
        <f>IF(G73=0,1,L73/G73)</f>
        <v>0.96817167076410415</v>
      </c>
      <c r="K73" s="182"/>
      <c r="L73" s="148">
        <f>'WS A - Rate Base Support'!C64</f>
        <v>561712122.39769232</v>
      </c>
      <c r="M73" s="182"/>
    </row>
    <row r="74" spans="2:13" ht="15.75">
      <c r="B74" s="136">
        <f t="shared" si="1"/>
        <v>27</v>
      </c>
      <c r="C74" s="178"/>
      <c r="D74" s="132" t="s">
        <v>179</v>
      </c>
      <c r="E74" s="135" t="str">
        <f>"(Worksheet A ln "&amp;'WS A - Rate Base Support'!A42&amp;"."&amp;'WS A - Rate Base Support'!D27 &amp;")"</f>
        <v>(Worksheet A ln 28.(e))</v>
      </c>
      <c r="F74" s="180"/>
      <c r="G74" s="148">
        <f>'WS A - Rate Base Support'!D42</f>
        <v>0</v>
      </c>
      <c r="H74" s="148"/>
      <c r="I74" s="1081" t="s">
        <v>420</v>
      </c>
      <c r="J74" s="150">
        <f>IF(I74="TP",L217,L73/G73)</f>
        <v>0.96907287566652389</v>
      </c>
      <c r="K74" s="182"/>
      <c r="L74" s="148">
        <f>+J74*G74</f>
        <v>0</v>
      </c>
      <c r="M74" s="182"/>
    </row>
    <row r="75" spans="2:13">
      <c r="B75" s="136">
        <f t="shared" si="1"/>
        <v>28</v>
      </c>
      <c r="C75" s="178"/>
      <c r="D75" s="132" t="str">
        <f>+D65</f>
        <v xml:space="preserve">  General Plant   </v>
      </c>
      <c r="E75" s="135" t="str">
        <f>"(Worksheet A ln "&amp;'WS A - Rate Base Support'!A42&amp;"."&amp;'WS A - Rate Base Support'!E27 &amp;")"</f>
        <v>(Worksheet A ln 28.(h))</v>
      </c>
      <c r="F75" s="135"/>
      <c r="G75" s="148">
        <f>'WS A - Rate Base Support'!E42</f>
        <v>26750306.883846156</v>
      </c>
      <c r="H75" s="148"/>
      <c r="I75" s="149" t="s">
        <v>430</v>
      </c>
      <c r="J75" s="150">
        <f>L235</f>
        <v>0.96907287566652389</v>
      </c>
      <c r="K75" s="135"/>
      <c r="L75" s="148">
        <f>+J75*G75</f>
        <v>25922996.816890806</v>
      </c>
      <c r="M75" s="135"/>
    </row>
    <row r="76" spans="2:13">
      <c r="B76" s="136">
        <f t="shared" si="1"/>
        <v>29</v>
      </c>
      <c r="C76" s="178"/>
      <c r="D76" s="132" t="s">
        <v>178</v>
      </c>
      <c r="E76" s="135" t="str">
        <f>"(Worksheet A ln "&amp;'WS A - Rate Base Support'!A42&amp;"."&amp;'WS A - Rate Base Support'!F27 &amp;")"</f>
        <v>(Worksheet A ln 28.(i))</v>
      </c>
      <c r="F76" s="135"/>
      <c r="G76" s="148">
        <f>'WS A - Rate Base Support'!F42</f>
        <v>0</v>
      </c>
      <c r="H76" s="148"/>
      <c r="I76" s="149" t="s">
        <v>430</v>
      </c>
      <c r="J76" s="150">
        <f>L235</f>
        <v>0.96907287566652389</v>
      </c>
      <c r="K76" s="135"/>
      <c r="L76" s="148">
        <f>+J76*G76</f>
        <v>0</v>
      </c>
      <c r="M76" s="135"/>
    </row>
    <row r="77" spans="2:13">
      <c r="B77" s="136">
        <f t="shared" si="1"/>
        <v>30</v>
      </c>
      <c r="C77" s="178"/>
      <c r="D77" s="132" t="str">
        <f>+D67</f>
        <v xml:space="preserve">  Intangible Plant</v>
      </c>
      <c r="E77" s="135" t="str">
        <f>"(Worksheet A ln "&amp;'WS A - Rate Base Support'!A42&amp;"."&amp;'WS A - Rate Base Support'!G27 &amp;")"</f>
        <v>(Worksheet A ln 28.(j))</v>
      </c>
      <c r="F77" s="135"/>
      <c r="G77" s="148">
        <f>'WS A - Rate Base Support'!G42</f>
        <v>1455248.8853846155</v>
      </c>
      <c r="H77" s="148"/>
      <c r="I77" s="149" t="s">
        <v>430</v>
      </c>
      <c r="J77" s="150">
        <f>L235</f>
        <v>0.96907287566652389</v>
      </c>
      <c r="K77" s="135"/>
      <c r="L77" s="1128">
        <f>+J77*G77</f>
        <v>1410242.222170173</v>
      </c>
      <c r="M77" s="135"/>
    </row>
    <row r="78" spans="2:13">
      <c r="B78" s="136" t="s">
        <v>1069</v>
      </c>
      <c r="C78" s="178"/>
      <c r="D78" s="132" t="s">
        <v>1053</v>
      </c>
      <c r="E78" s="135" t="str">
        <f>"(Worksheet A ln "&amp;'WS A - Rate Base Support'!A42&amp;"."&amp;'WS A - Rate Base Support'!H27 &amp;")"</f>
        <v>(Worksheet A ln 28.(k))</v>
      </c>
      <c r="F78" s="135"/>
      <c r="G78" s="148">
        <f>'WS A - Rate Base Support'!H42</f>
        <v>0</v>
      </c>
      <c r="H78" s="148"/>
      <c r="I78" s="149" t="s">
        <v>1055</v>
      </c>
      <c r="J78" s="150">
        <f>$L$224</f>
        <v>1</v>
      </c>
      <c r="K78" s="135"/>
      <c r="L78" s="237">
        <f t="shared" ref="L78:L79" si="2">+J78*G78</f>
        <v>0</v>
      </c>
      <c r="M78" s="135"/>
    </row>
    <row r="79" spans="2:13" ht="15.75" thickBot="1">
      <c r="B79" s="136" t="s">
        <v>1070</v>
      </c>
      <c r="C79" s="178"/>
      <c r="D79" s="132" t="s">
        <v>1068</v>
      </c>
      <c r="E79" s="135" t="str">
        <f>"(Worksheet A ln "&amp;'WS A - Rate Base Support'!A42&amp;"."&amp;'WS A - Rate Base Support'!I27 &amp;")"</f>
        <v>(Worksheet A ln 28.(l))</v>
      </c>
      <c r="F79" s="135"/>
      <c r="G79" s="184">
        <f>'WS A - Rate Base Support'!I42</f>
        <v>0</v>
      </c>
      <c r="H79" s="148"/>
      <c r="I79" s="149" t="s">
        <v>1055</v>
      </c>
      <c r="J79" s="150">
        <f>$L$224</f>
        <v>1</v>
      </c>
      <c r="K79" s="135"/>
      <c r="L79" s="1127">
        <f t="shared" si="2"/>
        <v>0</v>
      </c>
      <c r="M79" s="135"/>
    </row>
    <row r="80" spans="2:13">
      <c r="B80" s="136">
        <f>+B77+1</f>
        <v>31</v>
      </c>
      <c r="C80" s="178"/>
      <c r="D80" s="132" t="s">
        <v>378</v>
      </c>
      <c r="E80" s="135" t="str">
        <f>"(Sum of Lines: "&amp;B73&amp;" to "&amp;B77&amp;")"</f>
        <v>(Sum of Lines: 26 to 30)</v>
      </c>
      <c r="F80" s="191"/>
      <c r="G80" s="148">
        <f>SUM(G73:G79)</f>
        <v>608383781.75923073</v>
      </c>
      <c r="H80" s="148"/>
      <c r="I80" s="149"/>
      <c r="J80" s="135"/>
      <c r="K80" s="148"/>
      <c r="L80" s="148">
        <f>SUM(L73:L79)</f>
        <v>589045361.43675327</v>
      </c>
      <c r="M80" s="135"/>
    </row>
    <row r="81" spans="2:13">
      <c r="B81" s="136"/>
      <c r="C81" s="137"/>
      <c r="E81" s="192"/>
      <c r="F81" s="191"/>
      <c r="G81" s="148"/>
      <c r="H81" s="148"/>
      <c r="I81" s="149"/>
      <c r="J81" s="193"/>
      <c r="K81" s="135"/>
      <c r="L81" s="148"/>
      <c r="M81" s="135"/>
    </row>
    <row r="82" spans="2:13">
      <c r="B82" s="136">
        <f>+B80+1</f>
        <v>32</v>
      </c>
      <c r="C82" s="137"/>
      <c r="D82" s="132" t="s">
        <v>382</v>
      </c>
      <c r="E82" s="149"/>
      <c r="F82" s="149"/>
      <c r="G82" s="148"/>
      <c r="H82" s="148"/>
      <c r="I82" s="149"/>
      <c r="J82" s="135"/>
      <c r="K82" s="135"/>
      <c r="L82" s="148"/>
      <c r="M82" s="135"/>
    </row>
    <row r="83" spans="2:13">
      <c r="B83" s="194">
        <f>+B82+1</f>
        <v>33</v>
      </c>
      <c r="C83" s="178"/>
      <c r="D83" s="132" t="str">
        <f>+D73</f>
        <v xml:space="preserve">  Transmission</v>
      </c>
      <c r="E83" s="135" t="str">
        <f>" (ln "&amp;B63&amp;" + ln "&amp;B64&amp;" - ln "&amp;B73&amp;" - ln "&amp;B74&amp;")"</f>
        <v xml:space="preserve"> (ln 19 + ln 20 - ln 26 - ln 27)</v>
      </c>
      <c r="F83" s="135"/>
      <c r="G83" s="148">
        <f>+G63+G64-G73-G74</f>
        <v>3677911683.3484621</v>
      </c>
      <c r="H83" s="148"/>
      <c r="I83" s="149"/>
      <c r="J83" s="190"/>
      <c r="K83" s="135"/>
      <c r="L83" s="148">
        <f>+L63+L64-L73-L74</f>
        <v>3564687310.8915391</v>
      </c>
      <c r="M83" s="135"/>
    </row>
    <row r="84" spans="2:13">
      <c r="B84" s="136">
        <f>+B83+1</f>
        <v>34</v>
      </c>
      <c r="C84" s="178"/>
      <c r="D84" s="132" t="str">
        <f>+D75</f>
        <v xml:space="preserve">  General Plant   </v>
      </c>
      <c r="E84" s="135" t="str">
        <f>" (ln "&amp;B65&amp;" + ln "&amp;B66&amp;" - ln "&amp;B75&amp;" - ln "&amp;B76&amp;")"</f>
        <v xml:space="preserve"> (ln 21 + ln 22 - ln 28 - ln 29)</v>
      </c>
      <c r="F84" s="135"/>
      <c r="G84" s="148">
        <f>+G65+G66-G75-G76</f>
        <v>72238700.606923074</v>
      </c>
      <c r="H84" s="148"/>
      <c r="I84" s="149"/>
      <c r="J84" s="193"/>
      <c r="K84" s="135"/>
      <c r="L84" s="148">
        <f>+L65+L66-L75-L76</f>
        <v>70004565.331564009</v>
      </c>
      <c r="M84" s="135"/>
    </row>
    <row r="85" spans="2:13">
      <c r="B85" s="136">
        <f>+B84+1</f>
        <v>35</v>
      </c>
      <c r="C85" s="178"/>
      <c r="D85" s="132" t="str">
        <f>+D77</f>
        <v xml:space="preserve">  Intangible Plant</v>
      </c>
      <c r="E85" s="135" t="str">
        <f>" (ln "&amp;B67&amp;" - ln "&amp;B77&amp;")"</f>
        <v xml:space="preserve"> (ln 23 - ln 30)</v>
      </c>
      <c r="F85" s="135"/>
      <c r="G85" s="148">
        <f>+G67-G77</f>
        <v>1427639.653076923</v>
      </c>
      <c r="H85" s="148"/>
      <c r="I85" s="149"/>
      <c r="J85" s="193"/>
      <c r="K85" s="135"/>
      <c r="L85" s="148">
        <f>+L67-L77</f>
        <v>1383486.8640228121</v>
      </c>
      <c r="M85" s="135"/>
    </row>
    <row r="86" spans="2:13" ht="15.75" thickBot="1">
      <c r="B86" s="136" t="s">
        <v>1071</v>
      </c>
      <c r="C86" s="178"/>
      <c r="D86" s="132" t="s">
        <v>1053</v>
      </c>
      <c r="E86" s="135" t="str">
        <f>" (ln "&amp;B68&amp;" + ln "&amp;B69&amp;" - ln "&amp;B78&amp;" - ln "&amp;B79&amp;")"</f>
        <v xml:space="preserve"> (ln 23a + ln 23b - ln 30a - ln 30b)</v>
      </c>
      <c r="F86" s="135"/>
      <c r="G86" s="184">
        <f>+G68+G69-G78-G79</f>
        <v>0</v>
      </c>
      <c r="H86" s="148"/>
      <c r="I86" s="149"/>
      <c r="J86" s="193"/>
      <c r="K86" s="135"/>
      <c r="L86" s="184">
        <f>L68+L69-L78-L79</f>
        <v>0</v>
      </c>
      <c r="M86" s="135"/>
    </row>
    <row r="87" spans="2:13" ht="15.75">
      <c r="B87" s="136">
        <f>+B85+1</f>
        <v>36</v>
      </c>
      <c r="C87" s="178"/>
      <c r="D87" s="132" t="s">
        <v>377</v>
      </c>
      <c r="E87" s="135" t="str">
        <f>"(Sum of Lines: "&amp;B83&amp;" to "&amp;B85&amp;")"</f>
        <v>(Sum of Lines: 33 to 35)</v>
      </c>
      <c r="F87" s="135"/>
      <c r="G87" s="148">
        <f>SUM(G83:G86)</f>
        <v>3751578023.6084623</v>
      </c>
      <c r="H87" s="148"/>
      <c r="I87" s="195" t="s">
        <v>760</v>
      </c>
      <c r="J87" s="186">
        <f>IF(G87=0,0,+L87/G87)</f>
        <v>0.96921224620826618</v>
      </c>
      <c r="K87" s="135"/>
      <c r="L87" s="148">
        <f>SUM(L83:L86)</f>
        <v>3636075363.0871258</v>
      </c>
      <c r="M87" s="135"/>
    </row>
    <row r="88" spans="2:13">
      <c r="B88" s="136"/>
      <c r="C88" s="137"/>
      <c r="D88" s="132"/>
      <c r="E88" s="135"/>
      <c r="F88" s="135"/>
      <c r="G88" s="148"/>
      <c r="H88" s="148"/>
      <c r="J88" s="196"/>
      <c r="K88" s="135"/>
      <c r="L88" s="148"/>
      <c r="M88" s="135"/>
    </row>
    <row r="89" spans="2:13">
      <c r="B89" s="136"/>
      <c r="C89" s="137"/>
      <c r="G89" s="98"/>
      <c r="H89" s="98"/>
      <c r="I89" s="98"/>
      <c r="J89" s="98"/>
      <c r="K89" s="98"/>
      <c r="L89" s="98"/>
      <c r="M89"/>
    </row>
    <row r="90" spans="2:13">
      <c r="B90" s="136">
        <f>+B87+1</f>
        <v>37</v>
      </c>
      <c r="C90" s="137"/>
      <c r="D90" s="132" t="s">
        <v>129</v>
      </c>
      <c r="E90" s="135" t="s">
        <v>106</v>
      </c>
      <c r="F90" s="149"/>
      <c r="G90" s="41"/>
      <c r="H90" s="41"/>
      <c r="I90" s="41"/>
      <c r="J90" s="41"/>
      <c r="K90" s="41"/>
      <c r="L90" s="41"/>
      <c r="M90"/>
    </row>
    <row r="91" spans="2:13">
      <c r="B91" s="136">
        <f t="shared" ref="B91:B96" si="3">+B90+1</f>
        <v>38</v>
      </c>
      <c r="C91" s="178"/>
      <c r="D91" s="132" t="s">
        <v>483</v>
      </c>
      <c r="E91" s="135" t="str">
        <f>"(Worksheet B, ln "&amp;'WS B ADIT &amp; ITC'!A17&amp;" &amp; ln "&amp;'WS B ADIT &amp; ITC'!A20&amp;".E)"</f>
        <v>(Worksheet B, ln 2 &amp; ln 5.E)</v>
      </c>
      <c r="F91" s="135"/>
      <c r="G91" s="148">
        <f>'WS B ADIT &amp; ITC'!I17</f>
        <v>0</v>
      </c>
      <c r="H91" s="148"/>
      <c r="I91" s="149" t="s">
        <v>426</v>
      </c>
      <c r="J91" s="150"/>
      <c r="K91" s="135"/>
      <c r="L91" s="148">
        <f>'WS B ADIT &amp; ITC'!I20</f>
        <v>0</v>
      </c>
      <c r="M91" s="135"/>
    </row>
    <row r="92" spans="2:13">
      <c r="B92" s="136">
        <f t="shared" si="3"/>
        <v>39</v>
      </c>
      <c r="C92" s="178"/>
      <c r="D92" s="132" t="s">
        <v>484</v>
      </c>
      <c r="E92" s="135" t="str">
        <f>"(Worksheet B, ln "&amp;'WS B ADIT &amp; ITC'!A25&amp;" &amp; ln "&amp;'WS B ADIT &amp; ITC'!A28&amp;".E)"</f>
        <v>(Worksheet B, ln 7 &amp; ln 10.E)</v>
      </c>
      <c r="F92" s="135"/>
      <c r="G92" s="148">
        <f>-'WS B ADIT &amp; ITC'!I25</f>
        <v>-415468318.48500007</v>
      </c>
      <c r="H92" s="148"/>
      <c r="I92" s="149" t="s">
        <v>428</v>
      </c>
      <c r="J92" s="150"/>
      <c r="K92" s="135"/>
      <c r="L92" s="148">
        <f>-'WS B ADIT &amp; ITC'!I28</f>
        <v>-381454829.64358521</v>
      </c>
      <c r="M92" s="135"/>
    </row>
    <row r="93" spans="2:13">
      <c r="B93" s="136">
        <f t="shared" si="3"/>
        <v>40</v>
      </c>
      <c r="C93" s="178"/>
      <c r="D93" s="132" t="s">
        <v>485</v>
      </c>
      <c r="E93" s="135" t="str">
        <f>"(Worksheet B, ln "&amp;'WS B ADIT &amp; ITC'!A33&amp;" &amp; ln "&amp;'WS B ADIT &amp; ITC'!A36&amp;".E)"</f>
        <v>(Worksheet B, ln 12 &amp; ln 15.E)</v>
      </c>
      <c r="F93" s="135"/>
      <c r="G93" s="148">
        <f>-'WS B ADIT &amp; ITC'!I33</f>
        <v>-58449373.284999996</v>
      </c>
      <c r="H93" s="148"/>
      <c r="I93" s="149" t="s">
        <v>428</v>
      </c>
      <c r="J93" s="150"/>
      <c r="K93" s="135"/>
      <c r="L93" s="148">
        <f>-'WS B ADIT &amp; ITC'!I36</f>
        <v>-58449373.284999996</v>
      </c>
      <c r="M93" s="135"/>
    </row>
    <row r="94" spans="2:13">
      <c r="B94" s="136">
        <f t="shared" si="3"/>
        <v>41</v>
      </c>
      <c r="C94" s="178"/>
      <c r="D94" s="132" t="s">
        <v>486</v>
      </c>
      <c r="E94" s="135" t="str">
        <f>"(Worksheet B, ln "&amp;'WS B ADIT &amp; ITC'!A41&amp;" &amp; ln "&amp;'WS B ADIT &amp; ITC'!A44&amp;".E)"</f>
        <v>(Worksheet B, ln 17 &amp; ln 20.E)</v>
      </c>
      <c r="F94" s="135"/>
      <c r="G94" s="148">
        <f>'WS B ADIT &amp; ITC'!I41</f>
        <v>48839727.574999988</v>
      </c>
      <c r="H94" s="148"/>
      <c r="I94" s="149" t="s">
        <v>428</v>
      </c>
      <c r="J94" s="150"/>
      <c r="K94" s="135"/>
      <c r="L94" s="148">
        <f>'WS B ADIT &amp; ITC'!I44</f>
        <v>55799961.632656895</v>
      </c>
      <c r="M94" s="135"/>
    </row>
    <row r="95" spans="2:13" ht="15.75" thickBot="1">
      <c r="B95" s="136">
        <f t="shared" si="3"/>
        <v>42</v>
      </c>
      <c r="C95" s="178"/>
      <c r="D95" s="127" t="s">
        <v>432</v>
      </c>
      <c r="E95" s="135" t="str">
        <f>"(Worksheet B, ln "&amp;'WS B ADIT &amp; ITC'!A51&amp;" &amp; ln "&amp;'WS B ADIT &amp; ITC'!A52&amp;".E)"</f>
        <v>(Worksheet B, ln 24 &amp; ln 25.E)</v>
      </c>
      <c r="G95" s="184">
        <f>-'WS B ADIT &amp; ITC'!I51</f>
        <v>0</v>
      </c>
      <c r="H95" s="148"/>
      <c r="I95" s="149" t="s">
        <v>428</v>
      </c>
      <c r="J95" s="150"/>
      <c r="K95" s="135"/>
      <c r="L95" s="184">
        <f>-'WS B ADIT &amp; ITC'!I52</f>
        <v>0</v>
      </c>
      <c r="M95" s="197"/>
    </row>
    <row r="96" spans="2:13">
      <c r="B96" s="136">
        <f t="shared" si="3"/>
        <v>43</v>
      </c>
      <c r="C96" s="178"/>
      <c r="D96" s="132" t="s">
        <v>391</v>
      </c>
      <c r="E96" s="132" t="str">
        <f>"(sum lns "&amp;B91&amp;" to "&amp;B95&amp;")"</f>
        <v>(sum lns 38 to 42)</v>
      </c>
      <c r="F96" s="135"/>
      <c r="G96" s="148">
        <f>SUM(G91:G95)</f>
        <v>-425077964.19500011</v>
      </c>
      <c r="H96" s="41"/>
      <c r="I96" s="149"/>
      <c r="J96" s="158"/>
      <c r="K96" s="135"/>
      <c r="L96" s="148">
        <f>SUM(L91:L95)</f>
        <v>-384104241.2959283</v>
      </c>
      <c r="M96" s="135"/>
    </row>
    <row r="97" spans="2:13">
      <c r="B97" s="136"/>
      <c r="C97" s="137"/>
      <c r="D97" s="132"/>
      <c r="E97" s="135"/>
      <c r="F97" s="135"/>
      <c r="G97" s="148"/>
      <c r="H97" s="41"/>
      <c r="I97" s="149"/>
      <c r="J97" s="193"/>
      <c r="K97" s="135"/>
      <c r="L97" s="148"/>
      <c r="M97" s="135"/>
    </row>
    <row r="98" spans="2:13">
      <c r="B98" s="136">
        <f>+B96+1</f>
        <v>44</v>
      </c>
      <c r="C98" s="137"/>
      <c r="D98" s="132" t="s">
        <v>495</v>
      </c>
      <c r="E98" s="135" t="str">
        <f>"(Worksheet A ln "&amp;'WS A - Rate Base Support'!A69&amp;"."&amp;'WS A - Rate Base Support'!F68 &amp;")"&amp;" ln "&amp;'WS A - Rate Base Support'!A71&amp;"."&amp;'WS A - Rate Base Support'!F68 &amp;")"</f>
        <v>(Worksheet A ln 44.(e)) ln 45.(e))</v>
      </c>
      <c r="F98" s="135"/>
      <c r="G98" s="148">
        <f>'WS A - Rate Base Support'!F69</f>
        <v>0</v>
      </c>
      <c r="H98" s="41"/>
      <c r="I98" s="149" t="s">
        <v>428</v>
      </c>
      <c r="J98" s="150"/>
      <c r="K98" s="135"/>
      <c r="L98" s="148">
        <f>'WS A - Rate Base Support'!F71</f>
        <v>0</v>
      </c>
      <c r="M98" s="135"/>
    </row>
    <row r="99" spans="2:13">
      <c r="B99" s="136"/>
      <c r="C99" s="137"/>
      <c r="D99" s="132"/>
      <c r="E99" s="135"/>
      <c r="F99" s="135"/>
      <c r="G99" s="148"/>
      <c r="H99" s="41"/>
      <c r="I99" s="149"/>
      <c r="J99" s="150"/>
      <c r="K99" s="135"/>
      <c r="L99" s="148"/>
      <c r="M99" s="135"/>
    </row>
    <row r="100" spans="2:13">
      <c r="B100" s="136">
        <f>+B98+1</f>
        <v>45</v>
      </c>
      <c r="C100" s="137"/>
      <c r="D100" s="132" t="s">
        <v>130</v>
      </c>
      <c r="E100" s="135" t="str">
        <f>"(Worksheet A ln "&amp;'WS A - Rate Base Support'!A80&amp;"."&amp;'WS A - Rate Base Support'!F68 &amp;")"</f>
        <v>(Worksheet A ln 51.(e))</v>
      </c>
      <c r="F100" s="135"/>
      <c r="G100" s="148">
        <f>'WS A - Rate Base Support'!F80</f>
        <v>0</v>
      </c>
      <c r="H100" s="41"/>
      <c r="I100" s="149" t="s">
        <v>428</v>
      </c>
      <c r="J100" s="135"/>
      <c r="K100" s="135"/>
      <c r="L100" s="148">
        <f>+G100</f>
        <v>0</v>
      </c>
      <c r="M100" s="135"/>
    </row>
    <row r="101" spans="2:13">
      <c r="B101" s="136"/>
      <c r="C101" s="137"/>
      <c r="D101" s="132"/>
      <c r="E101" s="135"/>
      <c r="F101" s="135"/>
      <c r="G101" s="148"/>
      <c r="H101" s="41"/>
      <c r="I101" s="149"/>
      <c r="J101" s="135"/>
      <c r="K101" s="135"/>
      <c r="L101" s="148"/>
      <c r="M101" s="135"/>
    </row>
    <row r="102" spans="2:13">
      <c r="B102" s="136">
        <f>B100+1</f>
        <v>46</v>
      </c>
      <c r="C102" s="178"/>
      <c r="D102" s="144" t="s">
        <v>635</v>
      </c>
      <c r="E102" s="135" t="s">
        <v>636</v>
      </c>
      <c r="F102" s="135"/>
      <c r="G102" s="148">
        <f>'WS A - Rate Base Support'!F87</f>
        <v>0</v>
      </c>
      <c r="H102" s="148"/>
      <c r="I102" s="149" t="s">
        <v>430</v>
      </c>
      <c r="J102" s="150">
        <f>L235</f>
        <v>0.96907287566652389</v>
      </c>
      <c r="K102" s="135"/>
      <c r="L102" s="148">
        <f>+J102*G102</f>
        <v>0</v>
      </c>
      <c r="M102" s="135"/>
    </row>
    <row r="103" spans="2:13">
      <c r="B103" s="136"/>
      <c r="C103" s="137"/>
      <c r="D103" s="132"/>
      <c r="E103" s="135"/>
      <c r="F103" s="135"/>
      <c r="G103" s="148"/>
      <c r="H103" s="41"/>
      <c r="I103" s="149"/>
      <c r="J103" s="135"/>
      <c r="K103" s="135"/>
      <c r="L103" s="148"/>
      <c r="M103" s="135"/>
    </row>
    <row r="104" spans="2:13">
      <c r="B104" s="136">
        <f>+B102+1</f>
        <v>47</v>
      </c>
      <c r="C104" s="137"/>
      <c r="D104" s="132" t="s">
        <v>392</v>
      </c>
      <c r="E104" s="135" t="s">
        <v>294</v>
      </c>
      <c r="F104" s="135"/>
      <c r="G104" s="148"/>
      <c r="H104" s="41"/>
      <c r="I104" s="149"/>
      <c r="J104" s="135"/>
      <c r="K104" s="135"/>
      <c r="L104" s="148"/>
      <c r="M104" s="135"/>
    </row>
    <row r="105" spans="2:13">
      <c r="B105" s="136">
        <f t="shared" ref="B105:B114" si="4">+B104+1</f>
        <v>48</v>
      </c>
      <c r="C105" s="178"/>
      <c r="D105" s="132" t="s">
        <v>494</v>
      </c>
      <c r="E105" s="127" t="str">
        <f>"(1/8 * ln "&amp;B140&amp;")"</f>
        <v>(1/8 * ln 66)</v>
      </c>
      <c r="G105" s="148">
        <f>+G140/8</f>
        <v>4378002.5149999997</v>
      </c>
      <c r="H105" s="135"/>
      <c r="I105" s="149"/>
      <c r="J105" s="193"/>
      <c r="K105" s="135"/>
      <c r="L105" s="148">
        <f>+L140/8</f>
        <v>4242603.4868863234</v>
      </c>
      <c r="M105" s="132"/>
    </row>
    <row r="106" spans="2:13">
      <c r="B106" s="136">
        <f t="shared" si="4"/>
        <v>49</v>
      </c>
      <c r="C106" s="178"/>
      <c r="D106" s="132" t="s">
        <v>137</v>
      </c>
      <c r="E106" s="135" t="str">
        <f>"(Worksheet C, ln "&amp;'WS C  - Working Capital'!A17&amp;".(F))"</f>
        <v>(Worksheet C, ln 2.(F))</v>
      </c>
      <c r="F106" s="135"/>
      <c r="G106" s="148">
        <f>'WS C  - Working Capital'!I17</f>
        <v>11</v>
      </c>
      <c r="H106" s="41"/>
      <c r="I106" s="149" t="s">
        <v>420</v>
      </c>
      <c r="J106" s="150">
        <f>J140</f>
        <v>0.96907287566652389</v>
      </c>
      <c r="K106" s="135"/>
      <c r="L106" s="148">
        <f>+J106*G106</f>
        <v>10.659801632331764</v>
      </c>
      <c r="M106" s="135"/>
    </row>
    <row r="107" spans="2:13">
      <c r="B107" s="136" t="s">
        <v>1064</v>
      </c>
      <c r="C107" s="178"/>
      <c r="D107" s="132" t="s">
        <v>1065</v>
      </c>
      <c r="E107" s="135" t="str">
        <f>"(Worksheet C, ln "&amp;'WS C  - Working Capital'!A19&amp;".(F))"</f>
        <v>(Worksheet C, ln 2a.(F))</v>
      </c>
      <c r="F107" s="135"/>
      <c r="G107" s="148">
        <f>'WS C  - Working Capital'!I19</f>
        <v>0</v>
      </c>
      <c r="H107" s="98"/>
      <c r="I107" s="149" t="s">
        <v>1055</v>
      </c>
      <c r="J107" s="150">
        <f>$L$224</f>
        <v>1</v>
      </c>
      <c r="K107" s="135"/>
      <c r="L107" s="148">
        <f>+J107*G107</f>
        <v>0</v>
      </c>
      <c r="M107" s="135"/>
    </row>
    <row r="108" spans="2:13">
      <c r="B108" s="136">
        <f>+B106+1</f>
        <v>50</v>
      </c>
      <c r="C108" s="178"/>
      <c r="D108" s="132" t="s">
        <v>138</v>
      </c>
      <c r="E108" s="135" t="str">
        <f>"(Worksheet C, ln "&amp;'WS C  - Working Capital'!A21&amp;".(F))"</f>
        <v>(Worksheet C, ln 3.(F))</v>
      </c>
      <c r="F108" s="135"/>
      <c r="G108" s="148">
        <f>'WS C  - Working Capital'!I21</f>
        <v>0</v>
      </c>
      <c r="H108" s="41"/>
      <c r="I108" s="149" t="s">
        <v>430</v>
      </c>
      <c r="J108" s="150">
        <f>L235</f>
        <v>0.96907287566652389</v>
      </c>
      <c r="K108" s="135"/>
      <c r="L108" s="148">
        <f>+J108*G108</f>
        <v>0</v>
      </c>
      <c r="M108" s="135"/>
    </row>
    <row r="109" spans="2:13">
      <c r="B109" s="136">
        <f t="shared" si="4"/>
        <v>51</v>
      </c>
      <c r="C109" s="178"/>
      <c r="D109" s="132" t="s">
        <v>326</v>
      </c>
      <c r="E109" s="135" t="str">
        <f>"(Worksheet C, ln "&amp;'WS C  - Working Capital'!A23&amp;".(F))"</f>
        <v>(Worksheet C, ln 4.(F))</v>
      </c>
      <c r="F109" s="135"/>
      <c r="G109" s="148">
        <f>'WS C  - Working Capital'!I23</f>
        <v>0</v>
      </c>
      <c r="H109" s="41"/>
      <c r="I109" s="149" t="s">
        <v>761</v>
      </c>
      <c r="J109" s="150">
        <f>J70</f>
        <v>0.96907287566652378</v>
      </c>
      <c r="K109" s="135"/>
      <c r="L109" s="148">
        <f>+J109*G109</f>
        <v>0</v>
      </c>
      <c r="M109" s="135"/>
    </row>
    <row r="110" spans="2:13">
      <c r="B110" s="136">
        <f t="shared" si="4"/>
        <v>52</v>
      </c>
      <c r="C110" s="178"/>
      <c r="D110" s="132" t="s">
        <v>498</v>
      </c>
      <c r="E110" s="135" t="str">
        <f>"(Worksheet C, ln "&amp;'WS C  - Working Capital'!A33&amp;".(G))"</f>
        <v>(Worksheet C, ln 8.(G))</v>
      </c>
      <c r="F110" s="135"/>
      <c r="G110" s="148">
        <f>'WS C  - Working Capital'!J33</f>
        <v>0</v>
      </c>
      <c r="H110" s="41"/>
      <c r="I110" s="149" t="s">
        <v>430</v>
      </c>
      <c r="J110" s="150">
        <f>L235</f>
        <v>0.96907287566652389</v>
      </c>
      <c r="K110" s="135"/>
      <c r="L110" s="148">
        <f>+J110*G110</f>
        <v>0</v>
      </c>
      <c r="M110" s="135"/>
    </row>
    <row r="111" spans="2:13">
      <c r="B111" s="136">
        <f t="shared" si="4"/>
        <v>53</v>
      </c>
      <c r="C111" s="178"/>
      <c r="D111" s="132" t="s">
        <v>499</v>
      </c>
      <c r="E111" s="135" t="str">
        <f>"(Worksheet C, ln "&amp;'WS C  - Working Capital'!A33&amp;".(F))"</f>
        <v>(Worksheet C, ln 8.(F))</v>
      </c>
      <c r="F111" s="135"/>
      <c r="G111" s="148">
        <f>'WS C  - Working Capital'!I33</f>
        <v>1172580.5</v>
      </c>
      <c r="H111" s="41"/>
      <c r="I111" s="149" t="s">
        <v>761</v>
      </c>
      <c r="J111" s="150">
        <f>J70</f>
        <v>0.96907287566652378</v>
      </c>
      <c r="K111" s="135"/>
      <c r="L111" s="148">
        <f>+G111*J111</f>
        <v>1136315.9570854902</v>
      </c>
      <c r="M111" s="135"/>
    </row>
    <row r="112" spans="2:13">
      <c r="B112" s="136">
        <f t="shared" si="4"/>
        <v>54</v>
      </c>
      <c r="C112" s="178"/>
      <c r="D112" s="132" t="s">
        <v>109</v>
      </c>
      <c r="E112" s="135" t="str">
        <f>"(Worksheet C, ln "&amp;'WS C  - Working Capital'!A33&amp;".(E))"</f>
        <v>(Worksheet C, ln 8.(E))</v>
      </c>
      <c r="F112" s="135"/>
      <c r="G112" s="148">
        <f>'WS C  - Working Capital'!G33</f>
        <v>0</v>
      </c>
      <c r="H112" s="41"/>
      <c r="I112" s="149" t="s">
        <v>428</v>
      </c>
      <c r="J112" s="150">
        <v>1</v>
      </c>
      <c r="K112" s="135"/>
      <c r="L112" s="148">
        <f>+G112</f>
        <v>0</v>
      </c>
      <c r="M112" s="135"/>
    </row>
    <row r="113" spans="2:13" ht="15.75" thickBot="1">
      <c r="B113" s="136">
        <f t="shared" si="4"/>
        <v>55</v>
      </c>
      <c r="C113" s="178"/>
      <c r="D113" s="132" t="s">
        <v>404</v>
      </c>
      <c r="E113" s="135" t="str">
        <f>"(Worksheet C, ln "&amp;'WS C  - Working Capital'!A33&amp;".(D))"</f>
        <v>(Worksheet C, ln 8.(D))</v>
      </c>
      <c r="F113" s="135"/>
      <c r="G113" s="184">
        <f>'WS C  - Working Capital'!E33</f>
        <v>0</v>
      </c>
      <c r="H113" s="148"/>
      <c r="I113" s="149" t="s">
        <v>426</v>
      </c>
      <c r="J113" s="150">
        <v>0</v>
      </c>
      <c r="K113" s="135"/>
      <c r="L113" s="184">
        <f>+G113*J113</f>
        <v>0</v>
      </c>
      <c r="M113" s="135"/>
    </row>
    <row r="114" spans="2:13">
      <c r="B114" s="136">
        <f t="shared" si="4"/>
        <v>56</v>
      </c>
      <c r="C114" s="178"/>
      <c r="D114" s="132" t="s">
        <v>376</v>
      </c>
      <c r="E114" s="132" t="str">
        <f>"(sum lns "&amp;B105&amp;" to "&amp;B113&amp;")"</f>
        <v>(sum lns 48 to 55)</v>
      </c>
      <c r="F114" s="132"/>
      <c r="G114" s="148">
        <f>SUM(G105:G113)</f>
        <v>5550594.0149999997</v>
      </c>
      <c r="H114" s="132"/>
      <c r="I114" s="137"/>
      <c r="J114" s="132"/>
      <c r="K114" s="132"/>
      <c r="L114" s="148">
        <f>SUM(L105:L113)</f>
        <v>5378930.1037734458</v>
      </c>
      <c r="M114" s="132"/>
    </row>
    <row r="115" spans="2:13">
      <c r="B115" s="136"/>
      <c r="C115" s="137"/>
      <c r="D115" s="132"/>
      <c r="E115" s="132"/>
      <c r="F115" s="132"/>
      <c r="G115" s="148"/>
      <c r="H115" s="132"/>
      <c r="I115" s="137"/>
      <c r="J115" s="132"/>
      <c r="K115" s="132"/>
      <c r="L115" s="148"/>
      <c r="M115" s="132"/>
    </row>
    <row r="116" spans="2:13">
      <c r="B116" s="136">
        <f>+B114+1</f>
        <v>57</v>
      </c>
      <c r="C116" s="137"/>
      <c r="D116" s="132" t="s">
        <v>364</v>
      </c>
      <c r="E116" s="132" t="str">
        <f>"(Note F) (Worksheet D, ln "&amp;'WS D IPP Credits'!A23&amp;".B)"</f>
        <v>(Note F) (Worksheet D, ln 8.B)</v>
      </c>
      <c r="F116" s="132"/>
      <c r="G116" s="148">
        <f>+'WS D IPP Credits'!C23</f>
        <v>0</v>
      </c>
      <c r="H116" s="132"/>
      <c r="I116" s="198" t="s">
        <v>428</v>
      </c>
      <c r="J116" s="150">
        <v>1</v>
      </c>
      <c r="K116" s="135"/>
      <c r="L116" s="148">
        <f>+J116*G116</f>
        <v>0</v>
      </c>
      <c r="M116" s="132"/>
    </row>
    <row r="117" spans="2:13" ht="15.75" thickBot="1">
      <c r="B117" s="136"/>
      <c r="E117" s="135"/>
      <c r="F117" s="135"/>
      <c r="G117" s="184"/>
      <c r="H117" s="135"/>
      <c r="I117" s="149"/>
      <c r="J117" s="135"/>
      <c r="K117" s="135"/>
      <c r="L117" s="184"/>
      <c r="M117" s="135"/>
    </row>
    <row r="118" spans="2:13" ht="15.75" thickBot="1">
      <c r="B118" s="136">
        <f>+B116+1</f>
        <v>58</v>
      </c>
      <c r="C118" s="137"/>
      <c r="D118" s="132" t="str">
        <f>"RATE BASE  (sum lns "&amp;B87&amp;", "&amp;B96&amp;", "&amp;B98&amp;", "&amp;B100&amp;", "&amp;B102&amp;", "&amp;B114&amp;", "&amp;B116&amp;")"</f>
        <v>RATE BASE  (sum lns 36, 43, 44, 45, 46, 56, 57)</v>
      </c>
      <c r="E118" s="135"/>
      <c r="F118" s="135"/>
      <c r="G118" s="199">
        <f>+G114+G98+G96+G87+G116+G100+G102</f>
        <v>3332050653.428462</v>
      </c>
      <c r="H118" s="135"/>
      <c r="I118" s="135"/>
      <c r="J118" s="193"/>
      <c r="K118" s="135"/>
      <c r="L118" s="199">
        <f>+L114+L98+L96+L87+L116+L100+L102</f>
        <v>3257350051.8949709</v>
      </c>
      <c r="M118" s="135"/>
    </row>
    <row r="119" spans="2:13" ht="16.5" thickTop="1">
      <c r="B119" s="136"/>
      <c r="C119" s="41"/>
      <c r="D119" s="41"/>
      <c r="E119" s="41"/>
      <c r="F119" s="41"/>
      <c r="G119" s="41"/>
      <c r="H119" s="41"/>
      <c r="I119" s="130"/>
      <c r="J119" s="130"/>
      <c r="K119" s="130"/>
    </row>
    <row r="120" spans="2:13">
      <c r="B120" s="200"/>
      <c r="C120" s="137"/>
      <c r="D120" s="132"/>
      <c r="E120" s="135"/>
      <c r="F120" s="135"/>
      <c r="G120" s="135"/>
      <c r="H120" s="135"/>
      <c r="I120" s="135"/>
      <c r="J120" s="135"/>
      <c r="K120" s="135"/>
      <c r="L120" s="135"/>
      <c r="M120" s="135"/>
    </row>
    <row r="121" spans="2:13">
      <c r="B121" s="200"/>
      <c r="C121" s="137"/>
      <c r="D121" s="132"/>
      <c r="E121" s="135"/>
      <c r="F121" s="149" t="str">
        <f>F51</f>
        <v>AEPTCo subsidiaries in PJM</v>
      </c>
      <c r="G121" s="149"/>
      <c r="H121" s="135"/>
      <c r="I121" s="135"/>
      <c r="J121" s="135"/>
      <c r="K121" s="135"/>
      <c r="L121" s="135"/>
      <c r="M121" s="201"/>
    </row>
    <row r="122" spans="2:13">
      <c r="B122" s="200"/>
      <c r="C122" s="137"/>
      <c r="D122" s="132"/>
      <c r="E122" s="135"/>
      <c r="F122" s="149" t="str">
        <f>F52</f>
        <v>Transmission Cost of Service Formula Rate</v>
      </c>
      <c r="G122" s="149"/>
      <c r="H122" s="135"/>
      <c r="I122" s="135"/>
      <c r="J122" s="135"/>
      <c r="K122" s="135"/>
      <c r="L122" s="135"/>
      <c r="M122" s="201"/>
    </row>
    <row r="123" spans="2:13">
      <c r="B123" s="200"/>
      <c r="C123" s="137"/>
      <c r="E123" s="135"/>
      <c r="F123" s="149" t="str">
        <f>F53</f>
        <v>Utilizing  Actual/Projected FERC Form 1 Data</v>
      </c>
      <c r="G123" s="135"/>
      <c r="H123" s="135"/>
      <c r="I123" s="135"/>
      <c r="J123" s="135"/>
      <c r="K123" s="135"/>
      <c r="L123" s="135"/>
      <c r="M123" s="166"/>
    </row>
    <row r="124" spans="2:13">
      <c r="B124" s="200"/>
      <c r="C124" s="137"/>
      <c r="E124" s="135"/>
      <c r="F124" s="149"/>
      <c r="G124" s="135"/>
      <c r="H124" s="135"/>
      <c r="I124" s="135"/>
      <c r="J124" s="135"/>
      <c r="K124" s="135"/>
      <c r="L124" s="135"/>
      <c r="M124" s="135"/>
    </row>
    <row r="125" spans="2:13">
      <c r="B125" s="200"/>
      <c r="C125" s="137"/>
      <c r="E125" s="202"/>
      <c r="F125" s="149" t="str">
        <f>F55</f>
        <v>AEP Indiana Michigan Transmission Company</v>
      </c>
      <c r="G125" s="202"/>
      <c r="H125" s="202"/>
      <c r="I125" s="202"/>
      <c r="J125" s="202"/>
      <c r="K125" s="202"/>
      <c r="M125" s="135"/>
    </row>
    <row r="126" spans="2:13">
      <c r="B126" s="200"/>
      <c r="C126" s="137"/>
      <c r="E126" s="202"/>
      <c r="F126" s="149"/>
      <c r="G126" s="202"/>
      <c r="H126" s="202"/>
      <c r="I126" s="202"/>
      <c r="J126" s="202"/>
      <c r="K126" s="202"/>
      <c r="M126" s="135"/>
    </row>
    <row r="127" spans="2:13">
      <c r="B127" s="200"/>
      <c r="D127" s="137" t="s">
        <v>421</v>
      </c>
      <c r="E127" s="137" t="s">
        <v>422</v>
      </c>
      <c r="F127" s="137"/>
      <c r="G127" s="137" t="s">
        <v>423</v>
      </c>
      <c r="H127" s="135"/>
      <c r="I127" s="1155" t="s">
        <v>424</v>
      </c>
      <c r="J127" s="1159"/>
      <c r="K127" s="135"/>
      <c r="L127" s="138" t="s">
        <v>425</v>
      </c>
      <c r="M127" s="135"/>
    </row>
    <row r="128" spans="2:13">
      <c r="B128" s="200"/>
      <c r="D128" s="137"/>
      <c r="E128" s="137"/>
      <c r="F128" s="137"/>
      <c r="G128" s="137"/>
      <c r="H128" s="135"/>
      <c r="I128" s="135"/>
      <c r="J128" s="168"/>
      <c r="K128" s="135"/>
      <c r="M128" s="135"/>
    </row>
    <row r="129" spans="2:13" ht="15.75">
      <c r="B129" s="200"/>
      <c r="C129" s="137"/>
      <c r="D129" s="203" t="s">
        <v>400</v>
      </c>
      <c r="E129" s="170" t="str">
        <f>E59</f>
        <v>Data Sources</v>
      </c>
      <c r="F129" s="171"/>
      <c r="G129" s="135"/>
      <c r="H129" s="135"/>
      <c r="I129" s="135"/>
      <c r="J129" s="137"/>
      <c r="K129" s="135"/>
      <c r="L129" s="170" t="str">
        <f>L59</f>
        <v>Total</v>
      </c>
    </row>
    <row r="130" spans="2:13" ht="15.75">
      <c r="B130" s="200"/>
      <c r="C130" s="137"/>
      <c r="D130" s="173" t="s">
        <v>401</v>
      </c>
      <c r="E130" s="204" t="str">
        <f>E60</f>
        <v>(See "General Notes")</v>
      </c>
      <c r="F130" s="135"/>
      <c r="G130" s="204" t="str">
        <f>G60</f>
        <v>TO Total</v>
      </c>
      <c r="H130" s="175"/>
      <c r="I130" s="1157" t="str">
        <f>I60</f>
        <v>Allocator</v>
      </c>
      <c r="J130" s="1158"/>
      <c r="K130" s="175"/>
      <c r="L130" s="204" t="str">
        <f>L60</f>
        <v>Transmission</v>
      </c>
      <c r="M130" s="135"/>
    </row>
    <row r="131" spans="2:13" ht="15.75">
      <c r="B131" s="136" t="str">
        <f>B61</f>
        <v>Line</v>
      </c>
      <c r="D131" s="132"/>
      <c r="E131" s="135"/>
      <c r="F131" s="135"/>
      <c r="G131" s="173"/>
      <c r="H131" s="205"/>
      <c r="I131" s="203"/>
      <c r="K131" s="205"/>
      <c r="L131" s="173"/>
      <c r="M131" s="135"/>
    </row>
    <row r="132" spans="2:13">
      <c r="B132" s="136" t="str">
        <f>B62</f>
        <v>No.</v>
      </c>
      <c r="C132" s="137"/>
      <c r="D132" s="132" t="s">
        <v>402</v>
      </c>
      <c r="E132" s="135"/>
      <c r="F132" s="135"/>
      <c r="G132" s="135"/>
      <c r="H132" s="135"/>
      <c r="I132" s="149"/>
      <c r="J132" s="135"/>
      <c r="K132" s="135"/>
      <c r="L132" s="135"/>
      <c r="M132" s="135"/>
    </row>
    <row r="133" spans="2:13">
      <c r="B133" s="136">
        <f>+B118+1</f>
        <v>59</v>
      </c>
      <c r="C133" s="137"/>
      <c r="D133" s="132" t="s">
        <v>32</v>
      </c>
      <c r="E133" s="135" t="s">
        <v>492</v>
      </c>
      <c r="F133" s="135"/>
      <c r="G133" s="115">
        <v>0</v>
      </c>
      <c r="H133" s="135"/>
      <c r="I133" s="149"/>
      <c r="J133" s="150"/>
      <c r="K133" s="135"/>
      <c r="L133" s="148"/>
      <c r="M133" s="135"/>
    </row>
    <row r="134" spans="2:13">
      <c r="B134" s="136">
        <f t="shared" ref="B134:B140" si="5">+B133+1</f>
        <v>60</v>
      </c>
      <c r="C134" s="137"/>
      <c r="D134" s="132" t="s">
        <v>45</v>
      </c>
      <c r="E134" s="135" t="s">
        <v>206</v>
      </c>
      <c r="F134" s="135"/>
      <c r="G134" s="115">
        <v>0</v>
      </c>
      <c r="H134" s="135"/>
      <c r="I134" s="149"/>
      <c r="J134" s="150"/>
      <c r="K134" s="135"/>
      <c r="L134" s="148"/>
      <c r="M134" s="135"/>
    </row>
    <row r="135" spans="2:13" ht="15.75" thickBot="1">
      <c r="B135" s="136">
        <f t="shared" si="5"/>
        <v>61</v>
      </c>
      <c r="C135" s="137"/>
      <c r="D135" s="132" t="s">
        <v>433</v>
      </c>
      <c r="E135" s="135" t="s">
        <v>205</v>
      </c>
      <c r="F135" s="135"/>
      <c r="G135" s="113">
        <v>36336267</v>
      </c>
      <c r="H135" s="206"/>
      <c r="I135" s="41"/>
      <c r="J135" s="41"/>
      <c r="K135"/>
      <c r="L135"/>
      <c r="M135" s="132"/>
    </row>
    <row r="136" spans="2:13">
      <c r="B136" s="136">
        <f t="shared" si="5"/>
        <v>62</v>
      </c>
      <c r="C136" s="137"/>
      <c r="D136" s="132" t="s">
        <v>46</v>
      </c>
      <c r="E136" s="135" t="str">
        <f>"(sum lns "&amp;B133&amp;"  to "&amp;B135&amp;")"</f>
        <v>(sum lns 59  to 61)</v>
      </c>
      <c r="F136" s="135"/>
      <c r="G136" s="148">
        <f>SUM(G133:G135)</f>
        <v>36336267</v>
      </c>
      <c r="H136" s="148"/>
      <c r="I136" s="41"/>
      <c r="J136" s="41"/>
      <c r="K136"/>
      <c r="L136"/>
      <c r="M136" s="132"/>
    </row>
    <row r="137" spans="2:13">
      <c r="B137" s="136">
        <f t="shared" si="5"/>
        <v>63</v>
      </c>
      <c r="C137" s="137"/>
      <c r="D137" s="132" t="s">
        <v>131</v>
      </c>
      <c r="E137" s="135" t="str">
        <f>"(Note G) (Worksheet F, ln "&amp;'WS F Misc Exp'!A33&amp;".C)"</f>
        <v>(Note G) (Worksheet F, ln 14.C)</v>
      </c>
      <c r="F137" s="135"/>
      <c r="G137" s="148">
        <f>+'WS F Misc Exp'!D33</f>
        <v>1312246.8800000001</v>
      </c>
      <c r="H137" s="148"/>
      <c r="I137" s="41"/>
      <c r="J137" s="41"/>
      <c r="K137"/>
      <c r="L137"/>
      <c r="M137" s="132"/>
    </row>
    <row r="138" spans="2:13">
      <c r="B138" s="136">
        <f t="shared" si="5"/>
        <v>64</v>
      </c>
      <c r="C138" s="137"/>
      <c r="D138" s="132" t="s">
        <v>360</v>
      </c>
      <c r="E138" s="135" t="s">
        <v>399</v>
      </c>
      <c r="F138" s="135"/>
      <c r="G138" s="117"/>
      <c r="H138" s="148"/>
      <c r="I138" s="41"/>
      <c r="J138" s="41"/>
      <c r="K138"/>
      <c r="L138"/>
      <c r="M138" s="132"/>
    </row>
    <row r="139" spans="2:13" ht="15.75" thickBot="1">
      <c r="B139" s="136">
        <f t="shared" si="5"/>
        <v>65</v>
      </c>
      <c r="C139" s="137"/>
      <c r="D139" s="132" t="s">
        <v>135</v>
      </c>
      <c r="E139" s="135" t="str">
        <f>"(Note I) (Worksheet F, ln "&amp;'WS F Misc Exp'!A21&amp;".C)"</f>
        <v>(Note I) (Worksheet F, ln 4.C)</v>
      </c>
      <c r="F139" s="135"/>
      <c r="G139" s="184">
        <f>+'WS F Misc Exp'!D21</f>
        <v>0</v>
      </c>
      <c r="H139" s="148"/>
      <c r="I139" s="41"/>
      <c r="J139" s="41"/>
      <c r="K139"/>
      <c r="L139"/>
      <c r="M139" s="132"/>
    </row>
    <row r="140" spans="2:13">
      <c r="B140" s="136">
        <f t="shared" si="5"/>
        <v>66</v>
      </c>
      <c r="C140" s="137"/>
      <c r="D140" s="132" t="s">
        <v>202</v>
      </c>
      <c r="E140" s="135" t="str">
        <f>"(lns "&amp;B135&amp;" - "&amp;B137&amp;" - "&amp;B138&amp;" - "&amp;B139&amp;")"</f>
        <v>(lns 61 - 63 - 64 - 65)</v>
      </c>
      <c r="F140" s="132"/>
      <c r="G140" s="148">
        <f>G135-G137-G138-G139</f>
        <v>35024020.119999997</v>
      </c>
      <c r="H140" s="135"/>
      <c r="I140" s="149" t="s">
        <v>420</v>
      </c>
      <c r="J140" s="150">
        <f>L217</f>
        <v>0.96907287566652389</v>
      </c>
      <c r="K140" s="135"/>
      <c r="L140" s="148">
        <f>+J140*G140</f>
        <v>33940827.895090587</v>
      </c>
      <c r="M140" s="132"/>
    </row>
    <row r="141" spans="2:13">
      <c r="B141" s="136"/>
      <c r="C141" s="137"/>
      <c r="D141" s="132"/>
      <c r="E141" s="135"/>
      <c r="F141" s="135"/>
      <c r="G141" s="41"/>
      <c r="H141" s="148"/>
      <c r="I141" s="41"/>
      <c r="J141" s="41"/>
      <c r="K141"/>
      <c r="L141"/>
      <c r="M141" s="132"/>
    </row>
    <row r="142" spans="2:13">
      <c r="B142" s="136">
        <f>+B140+1</f>
        <v>67</v>
      </c>
      <c r="C142" s="137"/>
      <c r="D142" s="132" t="s">
        <v>403</v>
      </c>
      <c r="E142" s="135" t="s">
        <v>758</v>
      </c>
      <c r="F142" s="135"/>
      <c r="G142" s="117">
        <v>13021092</v>
      </c>
      <c r="H142" s="206" t="s">
        <v>414</v>
      </c>
      <c r="I142" s="190"/>
      <c r="J142" s="190"/>
      <c r="K142" s="135"/>
      <c r="L142" s="148"/>
      <c r="M142" s="135"/>
    </row>
    <row r="143" spans="2:13">
      <c r="B143" s="136">
        <f t="shared" ref="B143:B149" si="6">+B142+1</f>
        <v>68</v>
      </c>
      <c r="C143" s="137"/>
      <c r="D143" s="132" t="s">
        <v>133</v>
      </c>
      <c r="E143" s="135" t="s">
        <v>207</v>
      </c>
      <c r="F143" s="135"/>
      <c r="G143" s="117">
        <v>841633.68</v>
      </c>
      <c r="H143" s="148"/>
      <c r="I143" s="190"/>
      <c r="J143" s="132"/>
      <c r="K143" s="135"/>
      <c r="L143" s="148"/>
      <c r="M143"/>
    </row>
    <row r="144" spans="2:13">
      <c r="B144" s="136">
        <f t="shared" si="6"/>
        <v>69</v>
      </c>
      <c r="C144" s="137"/>
      <c r="D144" s="132" t="s">
        <v>132</v>
      </c>
      <c r="E144" s="135" t="s">
        <v>395</v>
      </c>
      <c r="F144" s="135"/>
      <c r="G144" s="117">
        <f>'WS F Misc Exp'!D44</f>
        <v>91421.58</v>
      </c>
      <c r="H144" s="148"/>
      <c r="I144" s="190"/>
      <c r="J144" s="1126"/>
      <c r="K144" s="135"/>
      <c r="L144" s="148"/>
      <c r="M144" s="135"/>
    </row>
    <row r="145" spans="2:13">
      <c r="B145" s="136">
        <f t="shared" si="6"/>
        <v>70</v>
      </c>
      <c r="C145" s="137"/>
      <c r="D145" s="132" t="s">
        <v>407</v>
      </c>
      <c r="E145" s="135" t="s">
        <v>396</v>
      </c>
      <c r="F145" s="135"/>
      <c r="G145" s="117">
        <f>'WS F Misc Exp'!D64</f>
        <v>2033.69</v>
      </c>
      <c r="H145" s="148"/>
      <c r="I145" s="190"/>
      <c r="J145" s="190"/>
      <c r="K145" s="135"/>
      <c r="L145" s="148"/>
      <c r="M145" s="135"/>
    </row>
    <row r="146" spans="2:13">
      <c r="B146" s="136">
        <f t="shared" si="6"/>
        <v>71</v>
      </c>
      <c r="C146" s="137"/>
      <c r="D146" s="132" t="s">
        <v>134</v>
      </c>
      <c r="E146" s="135" t="s">
        <v>397</v>
      </c>
      <c r="F146" s="135"/>
      <c r="G146" s="117">
        <f>'WS F Misc Exp'!D73</f>
        <v>220992.867</v>
      </c>
      <c r="H146" s="148"/>
      <c r="I146" s="190"/>
      <c r="J146" s="190"/>
      <c r="K146" s="135"/>
      <c r="L146" s="148"/>
      <c r="M146" s="135"/>
    </row>
    <row r="147" spans="2:13">
      <c r="B147" s="136">
        <f>+B146+1</f>
        <v>72</v>
      </c>
      <c r="C147" s="137"/>
      <c r="D147" s="132" t="s">
        <v>408</v>
      </c>
      <c r="E147" s="135" t="str">
        <f>"(ln "&amp;B142&amp;" - sum ln "&amp;B143&amp;"  to ln "&amp;B146&amp;")"</f>
        <v>(ln 67 - sum ln 68  to ln 71)</v>
      </c>
      <c r="F147" s="135"/>
      <c r="G147" s="148">
        <f>G142-SUM(G143:G146)</f>
        <v>11865010.183</v>
      </c>
      <c r="H147" s="148"/>
      <c r="I147" s="149" t="s">
        <v>430</v>
      </c>
      <c r="J147" s="150">
        <f>L235</f>
        <v>0.96907287566652389</v>
      </c>
      <c r="K147" s="135"/>
      <c r="L147" s="148">
        <f>+J147*G147</f>
        <v>11498059.537852399</v>
      </c>
      <c r="M147" s="135"/>
    </row>
    <row r="148" spans="2:13">
      <c r="B148" s="136">
        <f t="shared" si="6"/>
        <v>73</v>
      </c>
      <c r="C148" s="137"/>
      <c r="D148" s="132" t="s">
        <v>487</v>
      </c>
      <c r="E148" s="135" t="str">
        <f>"(ln "&amp;B143&amp;")"</f>
        <v>(ln 68)</v>
      </c>
      <c r="F148" s="135"/>
      <c r="G148" s="148">
        <f>+G143</f>
        <v>841633.68</v>
      </c>
      <c r="H148" s="148"/>
      <c r="I148" s="160" t="s">
        <v>634</v>
      </c>
      <c r="J148" s="150">
        <f>J70</f>
        <v>0.96907287566652378</v>
      </c>
      <c r="K148" s="135"/>
      <c r="L148" s="148">
        <f>+J148*G148</f>
        <v>815604.37053539895</v>
      </c>
      <c r="M148" s="135"/>
    </row>
    <row r="149" spans="2:13">
      <c r="B149" s="136">
        <f t="shared" si="6"/>
        <v>74</v>
      </c>
      <c r="C149" s="137"/>
      <c r="D149" s="132" t="s">
        <v>1</v>
      </c>
      <c r="E149" s="135" t="str">
        <f>"Worksheet F ln "&amp;'WS F Misc Exp'!A44&amp;".(E) (Note L)"</f>
        <v>Worksheet F ln 21.(E) (Note L)</v>
      </c>
      <c r="F149" s="135"/>
      <c r="G149" s="148">
        <f>+'WS F Misc Exp'!F44</f>
        <v>92903.62</v>
      </c>
      <c r="H149" s="148"/>
      <c r="I149" s="149" t="s">
        <v>420</v>
      </c>
      <c r="J149" s="150">
        <f>L217</f>
        <v>0.96907287566652389</v>
      </c>
      <c r="K149" s="135"/>
      <c r="L149" s="148">
        <f>J149*G149</f>
        <v>90030.378193229975</v>
      </c>
      <c r="M149" s="135"/>
    </row>
    <row r="150" spans="2:13">
      <c r="B150" s="136">
        <f>B149+1</f>
        <v>75</v>
      </c>
      <c r="C150" s="137"/>
      <c r="D150" s="132" t="s">
        <v>25</v>
      </c>
      <c r="E150" s="135" t="str">
        <f>"Worksheet F ln "&amp;'WS F Misc Exp'!A64&amp;".(E) (Note L)"</f>
        <v>Worksheet F ln 38.(E) (Note L)</v>
      </c>
      <c r="F150" s="135"/>
      <c r="G150" s="148">
        <f>+'WS F Misc Exp'!F64</f>
        <v>0</v>
      </c>
      <c r="H150" s="135"/>
      <c r="I150" s="149" t="s">
        <v>420</v>
      </c>
      <c r="J150" s="150">
        <f>L217</f>
        <v>0.96907287566652389</v>
      </c>
      <c r="K150" s="135"/>
      <c r="L150" s="148">
        <f>+J150*G150</f>
        <v>0</v>
      </c>
      <c r="M150" s="135"/>
    </row>
    <row r="151" spans="2:13">
      <c r="B151" s="136">
        <f>+B150+1</f>
        <v>76</v>
      </c>
      <c r="C151" s="137"/>
      <c r="D151" s="132" t="s">
        <v>26</v>
      </c>
      <c r="E151" s="135" t="str">
        <f>"Worksheet F ln "&amp;'WS F Misc Exp'!A73&amp;".(E) (Note L)"</f>
        <v>Worksheet F ln 44.(E) (Note L)</v>
      </c>
      <c r="F151" s="135"/>
      <c r="G151" s="148">
        <f>+'WS F Misc Exp'!F73</f>
        <v>8542.5499999999993</v>
      </c>
      <c r="H151" s="207"/>
      <c r="I151" s="149" t="s">
        <v>428</v>
      </c>
      <c r="J151" s="150">
        <v>1</v>
      </c>
      <c r="K151" s="135"/>
      <c r="L151" s="148">
        <f>+J151*G151</f>
        <v>8542.5499999999993</v>
      </c>
      <c r="M151" s="135"/>
    </row>
    <row r="152" spans="2:13">
      <c r="B152" s="136">
        <f>+B151+1</f>
        <v>77</v>
      </c>
      <c r="C152" s="137"/>
      <c r="D152" s="952" t="s">
        <v>795</v>
      </c>
      <c r="E152" s="135" t="str">
        <f>"Worksheet O Ln "&amp;'Worksheet O'!A33&amp;"."&amp;'Worksheet O'!D11&amp;", (Note K &amp; M)"</f>
        <v>Worksheet O Ln 16.(B), (Note K &amp; M)</v>
      </c>
      <c r="F152" s="135"/>
      <c r="G152" s="148">
        <f>'Worksheet O'!D33</f>
        <v>299051.71140284365</v>
      </c>
      <c r="H152" s="207"/>
      <c r="I152" s="149" t="s">
        <v>430</v>
      </c>
      <c r="J152" s="150">
        <f>L235</f>
        <v>0.96907287566652389</v>
      </c>
      <c r="K152" s="135"/>
      <c r="L152" s="148">
        <f>+J152*G152</f>
        <v>289802.9019421491</v>
      </c>
      <c r="M152" s="135"/>
    </row>
    <row r="153" spans="2:13" ht="15.75" thickBot="1">
      <c r="B153" s="136" t="s">
        <v>1062</v>
      </c>
      <c r="C153" s="137"/>
      <c r="D153" s="132" t="s">
        <v>1053</v>
      </c>
      <c r="E153" s="135" t="s">
        <v>1063</v>
      </c>
      <c r="F153" s="135"/>
      <c r="G153" s="113">
        <v>0</v>
      </c>
      <c r="H153" s="207"/>
      <c r="I153" s="149" t="s">
        <v>1055</v>
      </c>
      <c r="J153" s="150">
        <f>$L$224</f>
        <v>1</v>
      </c>
      <c r="K153" s="135"/>
      <c r="L153" s="184">
        <f>+J153*G153</f>
        <v>0</v>
      </c>
      <c r="M153" s="135"/>
    </row>
    <row r="154" spans="2:13">
      <c r="B154" s="136">
        <f>+B152+1</f>
        <v>78</v>
      </c>
      <c r="C154" s="137"/>
      <c r="D154" s="132" t="s">
        <v>409</v>
      </c>
      <c r="E154" s="135" t="str">
        <f>"(sum lns "&amp;B147&amp;"  to "&amp;B152&amp;")"</f>
        <v>(sum lns 72  to 77)</v>
      </c>
      <c r="F154" s="135"/>
      <c r="G154" s="148">
        <f>SUM(G147:G152)</f>
        <v>13107141.744402843</v>
      </c>
      <c r="H154" s="148"/>
      <c r="I154" s="149"/>
      <c r="J154" s="190"/>
      <c r="K154" s="135"/>
      <c r="L154" s="148">
        <f>SUM(L147:L152)</f>
        <v>12702039.738523178</v>
      </c>
      <c r="M154" s="135"/>
    </row>
    <row r="155" spans="2:13" ht="15.75" thickBot="1">
      <c r="B155" s="136"/>
      <c r="C155" s="137"/>
      <c r="D155" s="132"/>
      <c r="E155" s="135"/>
      <c r="F155" s="135"/>
      <c r="G155" s="184"/>
      <c r="H155" s="135"/>
      <c r="I155" s="149"/>
      <c r="J155" s="190"/>
      <c r="K155" s="135"/>
      <c r="L155" s="184"/>
      <c r="M155" s="135"/>
    </row>
    <row r="156" spans="2:13">
      <c r="B156" s="136">
        <f>+B154+1</f>
        <v>79</v>
      </c>
      <c r="C156" s="137"/>
      <c r="D156" s="132" t="s">
        <v>204</v>
      </c>
      <c r="E156" s="135" t="str">
        <f>"(ln "&amp;B140&amp;" + ln "&amp;B154&amp;")"</f>
        <v>(ln 66 + ln 78)</v>
      </c>
      <c r="F156" s="135"/>
      <c r="G156" s="148">
        <f>+G140+G154</f>
        <v>48131161.864402838</v>
      </c>
      <c r="H156" s="148"/>
      <c r="I156" s="149"/>
      <c r="J156" s="135"/>
      <c r="K156" s="135"/>
      <c r="L156" s="148">
        <f>L140+L154</f>
        <v>46642867.633613765</v>
      </c>
      <c r="M156" s="135"/>
    </row>
    <row r="157" spans="2:13" ht="15.75" thickBot="1">
      <c r="B157" s="194">
        <f>+B156+1</f>
        <v>80</v>
      </c>
      <c r="C157" s="137"/>
      <c r="D157" s="132" t="s">
        <v>280</v>
      </c>
      <c r="E157" s="132"/>
      <c r="F157" s="135"/>
      <c r="G157" s="113">
        <v>0</v>
      </c>
      <c r="H157" s="148"/>
      <c r="I157" s="149" t="s">
        <v>428</v>
      </c>
      <c r="J157" s="150">
        <f>J63</f>
        <v>1</v>
      </c>
      <c r="K157" s="135"/>
      <c r="L157" s="184">
        <f>J157*G157</f>
        <v>0</v>
      </c>
      <c r="M157" s="135"/>
    </row>
    <row r="158" spans="2:13">
      <c r="B158" s="136">
        <f>+B157+1</f>
        <v>81</v>
      </c>
      <c r="C158" s="137"/>
      <c r="D158" s="132" t="s">
        <v>410</v>
      </c>
      <c r="E158" s="135" t="str">
        <f>"(ln "&amp;B156&amp;" + ln "&amp;B157&amp;")"</f>
        <v>(ln 79 + ln 80)</v>
      </c>
      <c r="F158" s="135"/>
      <c r="G158" s="148">
        <f>+G156+G157</f>
        <v>48131161.864402838</v>
      </c>
      <c r="H158" s="148"/>
      <c r="I158" s="149"/>
      <c r="J158" s="135"/>
      <c r="K158" s="135"/>
      <c r="L158" s="148">
        <f>+L156+L157</f>
        <v>46642867.633613765</v>
      </c>
      <c r="M158" s="135"/>
    </row>
    <row r="159" spans="2:13">
      <c r="B159" s="136"/>
      <c r="C159" s="137"/>
      <c r="D159" s="132"/>
      <c r="E159" s="135"/>
      <c r="F159" s="135"/>
      <c r="G159" s="148"/>
      <c r="H159" s="135"/>
      <c r="I159" s="135"/>
      <c r="J159" s="135"/>
      <c r="K159" s="135"/>
      <c r="L159" s="148"/>
      <c r="M159" s="135"/>
    </row>
    <row r="160" spans="2:13">
      <c r="B160" s="136">
        <f>+B158+1</f>
        <v>82</v>
      </c>
      <c r="C160" s="137"/>
      <c r="D160" s="132" t="s">
        <v>413</v>
      </c>
      <c r="E160" s="149"/>
      <c r="F160" s="149"/>
      <c r="G160" s="148"/>
      <c r="H160" s="135"/>
      <c r="I160" s="149"/>
      <c r="J160" s="135"/>
      <c r="K160" s="135"/>
      <c r="L160" s="148"/>
      <c r="M160" s="135"/>
    </row>
    <row r="161" spans="2:13">
      <c r="B161" s="194">
        <f>+B160+1</f>
        <v>83</v>
      </c>
      <c r="C161" s="137"/>
      <c r="D161" s="179" t="str">
        <f>+D135</f>
        <v xml:space="preserve">  Transmission </v>
      </c>
      <c r="E161" s="146" t="s">
        <v>208</v>
      </c>
      <c r="F161" s="180"/>
      <c r="G161" s="121">
        <v>118057469</v>
      </c>
      <c r="H161" s="208"/>
      <c r="I161" s="181" t="s">
        <v>420</v>
      </c>
      <c r="J161" s="150">
        <f>L217</f>
        <v>0.96907287566652389</v>
      </c>
      <c r="K161" s="182"/>
      <c r="L161" s="183">
        <f>J161*G161</f>
        <v>114406290.97774149</v>
      </c>
      <c r="M161" s="182"/>
    </row>
    <row r="162" spans="2:13">
      <c r="B162" s="136">
        <f>+B161+1</f>
        <v>84</v>
      </c>
      <c r="C162" s="137"/>
      <c r="D162" s="132" t="s">
        <v>434</v>
      </c>
      <c r="E162" s="180" t="s">
        <v>209</v>
      </c>
      <c r="F162" s="135"/>
      <c r="G162" s="121">
        <v>8326032</v>
      </c>
      <c r="H162" s="148"/>
      <c r="I162" s="149" t="s">
        <v>430</v>
      </c>
      <c r="J162" s="150">
        <f>L235</f>
        <v>0.96907287566652389</v>
      </c>
      <c r="K162" s="135"/>
      <c r="L162" s="148">
        <f>+J162*G162</f>
        <v>8068531.7731314991</v>
      </c>
      <c r="M162" s="135"/>
    </row>
    <row r="163" spans="2:13">
      <c r="B163" s="136">
        <f>+B162+1</f>
        <v>85</v>
      </c>
      <c r="C163" s="137"/>
      <c r="D163" s="132" t="s">
        <v>435</v>
      </c>
      <c r="E163" s="180" t="s">
        <v>210</v>
      </c>
      <c r="F163" s="135"/>
      <c r="G163" s="121">
        <v>0</v>
      </c>
      <c r="H163" s="148"/>
      <c r="I163" s="149" t="s">
        <v>430</v>
      </c>
      <c r="J163" s="150">
        <f>L235</f>
        <v>0.96907287566652389</v>
      </c>
      <c r="K163" s="135"/>
      <c r="L163" s="148">
        <f>+J163*G163</f>
        <v>0</v>
      </c>
      <c r="M163" s="135"/>
    </row>
    <row r="164" spans="2:13" ht="15.75" thickBot="1">
      <c r="B164" s="136" t="s">
        <v>1060</v>
      </c>
      <c r="C164" s="137"/>
      <c r="D164" s="132" t="s">
        <v>1053</v>
      </c>
      <c r="E164" s="146" t="s">
        <v>1061</v>
      </c>
      <c r="F164" s="1123"/>
      <c r="G164" s="1124">
        <v>0</v>
      </c>
      <c r="H164" s="1125"/>
      <c r="I164" s="149" t="s">
        <v>1055</v>
      </c>
      <c r="J164" s="150">
        <f>$L$224</f>
        <v>1</v>
      </c>
      <c r="K164" s="135"/>
      <c r="L164" s="184">
        <f>+G164*J164</f>
        <v>0</v>
      </c>
      <c r="M164" s="135"/>
    </row>
    <row r="165" spans="2:13" ht="15" customHeight="1">
      <c r="B165" s="136">
        <f>+B163+1</f>
        <v>86</v>
      </c>
      <c r="C165" s="137"/>
      <c r="D165" s="132" t="s">
        <v>104</v>
      </c>
      <c r="E165" s="209" t="str">
        <f>"(Ln "&amp;B161&amp;"+"&amp;B162&amp;"+"&amp;B163&amp;")"</f>
        <v>(Ln 83+84+85)</v>
      </c>
      <c r="F165" s="135"/>
      <c r="G165" s="148">
        <f>+G161+G162+G163+G164</f>
        <v>126383501</v>
      </c>
      <c r="H165" s="135"/>
      <c r="I165" s="149"/>
      <c r="J165" s="135"/>
      <c r="K165" s="135"/>
      <c r="L165" s="148">
        <f>+L161+L162+L163+L164</f>
        <v>122474822.750873</v>
      </c>
      <c r="M165" s="135"/>
    </row>
    <row r="166" spans="2:13">
      <c r="B166" s="136"/>
      <c r="C166" s="137"/>
      <c r="D166" s="132"/>
      <c r="E166" s="210"/>
      <c r="F166" s="135"/>
      <c r="G166" s="148"/>
      <c r="H166" s="135"/>
      <c r="I166" s="149"/>
      <c r="J166" s="135"/>
      <c r="K166" s="135"/>
      <c r="L166" s="148"/>
      <c r="M166" s="135"/>
    </row>
    <row r="167" spans="2:13">
      <c r="B167" s="136">
        <f>+B165+1</f>
        <v>87</v>
      </c>
      <c r="C167" s="137"/>
      <c r="D167" s="132" t="s">
        <v>365</v>
      </c>
      <c r="E167" s="127" t="s">
        <v>211</v>
      </c>
      <c r="G167" s="148"/>
      <c r="H167" s="135"/>
      <c r="I167" s="149"/>
      <c r="J167" s="135"/>
      <c r="K167" s="135"/>
      <c r="L167" s="148"/>
      <c r="M167" s="135"/>
    </row>
    <row r="168" spans="2:13">
      <c r="B168" s="136">
        <f t="shared" ref="B168:B173" si="7">+B167+1</f>
        <v>88</v>
      </c>
      <c r="C168" s="137"/>
      <c r="D168" s="132" t="s">
        <v>436</v>
      </c>
      <c r="G168" s="148"/>
      <c r="H168" s="135"/>
      <c r="I168" s="149"/>
      <c r="K168" s="135"/>
      <c r="L168" s="148"/>
      <c r="M168" s="135"/>
    </row>
    <row r="169" spans="2:13">
      <c r="B169" s="136">
        <f t="shared" si="7"/>
        <v>89</v>
      </c>
      <c r="C169" s="137"/>
      <c r="D169" s="132" t="s">
        <v>437</v>
      </c>
      <c r="E169" s="135" t="str">
        <f>"Worksheet H ln "&amp;'WS H-p1 Other Taxes'!A43&amp;"."&amp;'WS H-p1 Other Taxes'!I10&amp;""</f>
        <v>Worksheet H ln 23.(D)</v>
      </c>
      <c r="F169" s="135"/>
      <c r="G169" s="148">
        <f>+'WS H-p1 Other Taxes'!I43</f>
        <v>0</v>
      </c>
      <c r="H169" s="148"/>
      <c r="I169" s="149" t="s">
        <v>430</v>
      </c>
      <c r="J169" s="150">
        <f>L235</f>
        <v>0.96907287566652389</v>
      </c>
      <c r="K169" s="135"/>
      <c r="L169" s="148">
        <f>+J169*G169</f>
        <v>0</v>
      </c>
      <c r="M169" s="197"/>
    </row>
    <row r="170" spans="2:13">
      <c r="B170" s="136">
        <f t="shared" si="7"/>
        <v>90</v>
      </c>
      <c r="C170" s="137"/>
      <c r="D170" s="132" t="s">
        <v>438</v>
      </c>
      <c r="E170" s="135" t="s">
        <v>414</v>
      </c>
      <c r="F170" s="135"/>
      <c r="G170" s="148"/>
      <c r="H170" s="148"/>
      <c r="I170" s="149"/>
      <c r="K170" s="135"/>
      <c r="L170" s="148"/>
      <c r="M170" s="135"/>
    </row>
    <row r="171" spans="2:13">
      <c r="B171" s="136">
        <f t="shared" si="7"/>
        <v>91</v>
      </c>
      <c r="C171" s="137"/>
      <c r="D171" s="132" t="s">
        <v>439</v>
      </c>
      <c r="E171" s="135" t="str">
        <f>"Worksheet H-p2 ln "&amp;'WS H-p2 Detail of Tax Amts'!A22&amp;"."&amp;'WS H-p2 Detail of Tax Amts'!E19&amp; " &amp; ln "&amp;'WS H-p2 Detail of Tax Amts'!A22&amp;"."&amp;'WS H-p2 Detail of Tax Amts'!I19&amp;""</f>
        <v>Worksheet H-p2 ln 3.(C) &amp; ln 3.(G)</v>
      </c>
      <c r="F171" s="135"/>
      <c r="G171" s="148">
        <f>'WS H-p2 Detail of Tax Amts'!E22</f>
        <v>28414000.219999999</v>
      </c>
      <c r="H171" s="148"/>
      <c r="I171" s="149" t="s">
        <v>428</v>
      </c>
      <c r="J171" s="150">
        <v>1</v>
      </c>
      <c r="K171" s="135"/>
      <c r="L171" s="148">
        <f>+J171*G171</f>
        <v>28414000.219999999</v>
      </c>
      <c r="M171" s="211"/>
    </row>
    <row r="172" spans="2:13">
      <c r="B172" s="136">
        <f t="shared" si="7"/>
        <v>92</v>
      </c>
      <c r="C172" s="137"/>
      <c r="D172" s="132" t="s">
        <v>490</v>
      </c>
      <c r="E172" s="135" t="str">
        <f>"Worksheet H ln "&amp;'WS H-p1 Other Taxes'!A43&amp;"."&amp;'WS H-p1 Other Taxes'!M10&amp;""</f>
        <v>Worksheet H ln 23.(F)</v>
      </c>
      <c r="F172" s="135"/>
      <c r="G172" s="148">
        <f>+'WS H-p1 Other Taxes'!M43</f>
        <v>1</v>
      </c>
      <c r="H172" s="41"/>
      <c r="I172" s="149" t="s">
        <v>426</v>
      </c>
      <c r="J172" s="150">
        <v>0</v>
      </c>
      <c r="K172" s="135"/>
      <c r="L172" s="148">
        <f>+J172*G172</f>
        <v>0</v>
      </c>
      <c r="M172" s="135"/>
    </row>
    <row r="173" spans="2:13" ht="15.75" thickBot="1">
      <c r="B173" s="136">
        <f t="shared" si="7"/>
        <v>93</v>
      </c>
      <c r="C173" s="137"/>
      <c r="D173" s="132" t="s">
        <v>440</v>
      </c>
      <c r="E173" s="135" t="str">
        <f>"Worksheet H ln "&amp;'WS H-p1 Other Taxes'!A43&amp;"."&amp;'WS H-p1 Other Taxes'!K10&amp;""</f>
        <v>Worksheet H ln 23.(E)</v>
      </c>
      <c r="F173" s="135"/>
      <c r="G173" s="184">
        <f>+'WS H-p1 Other Taxes'!K43</f>
        <v>0</v>
      </c>
      <c r="H173" s="41"/>
      <c r="I173" s="149" t="s">
        <v>761</v>
      </c>
      <c r="J173" s="150">
        <f>J70</f>
        <v>0.96907287566652378</v>
      </c>
      <c r="K173" s="135"/>
      <c r="L173" s="184">
        <f>+J173*G173</f>
        <v>0</v>
      </c>
      <c r="M173" s="135"/>
    </row>
    <row r="174" spans="2:13">
      <c r="B174" s="136">
        <f>+B173+1</f>
        <v>94</v>
      </c>
      <c r="C174" s="137"/>
      <c r="D174" s="132" t="s">
        <v>366</v>
      </c>
      <c r="E174" s="146" t="str">
        <f>"(sum lns "&amp;B169&amp;" to "&amp;B173&amp;")"</f>
        <v>(sum lns 89 to 93)</v>
      </c>
      <c r="F174" s="135"/>
      <c r="G174" s="148">
        <f>SUM(G169:G173)</f>
        <v>28414001.219999999</v>
      </c>
      <c r="H174" s="135"/>
      <c r="I174" s="149"/>
      <c r="J174" s="212"/>
      <c r="K174" s="135"/>
      <c r="L174" s="148">
        <f>SUM(L169:L173)</f>
        <v>28414000.219999999</v>
      </c>
      <c r="M174" s="135"/>
    </row>
    <row r="175" spans="2:13">
      <c r="B175" s="136"/>
      <c r="C175" s="137"/>
      <c r="D175" s="132"/>
      <c r="E175" s="135"/>
      <c r="F175" s="135"/>
      <c r="G175" s="135"/>
      <c r="H175" s="135"/>
      <c r="I175" s="149"/>
      <c r="J175" s="212"/>
      <c r="K175" s="135"/>
      <c r="L175" s="135"/>
      <c r="M175" s="213"/>
    </row>
    <row r="176" spans="2:13">
      <c r="B176" s="136">
        <f>+B174+1</f>
        <v>95</v>
      </c>
      <c r="C176" s="137"/>
      <c r="D176" s="132" t="s">
        <v>139</v>
      </c>
      <c r="E176" s="135" t="s">
        <v>212</v>
      </c>
      <c r="F176" s="214"/>
      <c r="G176" s="135"/>
      <c r="H176" s="41"/>
      <c r="I176" s="202"/>
      <c r="K176" s="135"/>
      <c r="L176" s="215"/>
      <c r="M176" s="135"/>
    </row>
    <row r="177" spans="2:13">
      <c r="B177" s="136">
        <f t="shared" ref="B177:B182" si="8">+B176+1</f>
        <v>96</v>
      </c>
      <c r="C177" s="137"/>
      <c r="D177" s="197" t="s">
        <v>140</v>
      </c>
      <c r="E177" s="135"/>
      <c r="F177" s="216"/>
      <c r="G177" s="217">
        <f>IF(F356&gt;0,1-(((1-F357)*(1-F356))/(1-F357*F356*F358)),0)</f>
        <v>0.24935306000000002</v>
      </c>
      <c r="H177" s="218"/>
      <c r="I177" s="218"/>
      <c r="K177" s="219"/>
      <c r="L177" s="215"/>
      <c r="M177" s="135"/>
    </row>
    <row r="178" spans="2:13">
      <c r="B178" s="136">
        <f t="shared" si="8"/>
        <v>97</v>
      </c>
      <c r="C178" s="137"/>
      <c r="D178" s="127" t="s">
        <v>141</v>
      </c>
      <c r="E178" s="135"/>
      <c r="F178" s="216"/>
      <c r="G178" s="217">
        <f>IF(L249&gt;0,($G177/(1-$G177))*(1-$L249/$L252),0)</f>
        <v>0.25065186326440542</v>
      </c>
      <c r="H178" s="218"/>
      <c r="I178" s="218"/>
      <c r="K178" s="219"/>
      <c r="L178" s="215"/>
      <c r="M178" s="135"/>
    </row>
    <row r="179" spans="2:13">
      <c r="B179" s="136">
        <f t="shared" si="8"/>
        <v>98</v>
      </c>
      <c r="C179" s="137"/>
      <c r="D179" s="132" t="str">
        <f>"       where WCLTD=(ln "&amp;B249&amp;") and WACC = (ln "&amp;B252&amp;")"</f>
        <v xml:space="preserve">       where WCLTD=(ln 136) and WACC = (ln 139)</v>
      </c>
      <c r="E179" s="135"/>
      <c r="F179" s="214"/>
      <c r="G179" s="135"/>
      <c r="H179" s="218"/>
      <c r="I179" s="218"/>
      <c r="J179" s="220"/>
      <c r="K179" s="219"/>
      <c r="L179" s="221"/>
      <c r="M179" s="135"/>
    </row>
    <row r="180" spans="2:13">
      <c r="B180" s="136">
        <f t="shared" si="8"/>
        <v>99</v>
      </c>
      <c r="C180" s="137"/>
      <c r="D180" s="132" t="s">
        <v>213</v>
      </c>
      <c r="E180" s="222"/>
      <c r="F180" s="216"/>
      <c r="G180" s="135"/>
      <c r="H180" s="41"/>
      <c r="I180" s="202"/>
      <c r="J180" s="220"/>
      <c r="K180" s="219"/>
      <c r="L180" s="215"/>
      <c r="M180" s="135"/>
    </row>
    <row r="181" spans="2:13">
      <c r="B181" s="136">
        <f t="shared" si="8"/>
        <v>100</v>
      </c>
      <c r="C181" s="137"/>
      <c r="D181" s="197" t="str">
        <f>"      GRCF=1 / (1 - T)  = (from ln "&amp;B177&amp;")"</f>
        <v xml:space="preserve">      GRCF=1 / (1 - T)  = (from ln 96)</v>
      </c>
      <c r="E181" s="214"/>
      <c r="F181" s="214"/>
      <c r="G181" s="223">
        <f>IF(G177&gt;0,1/(1-G177),0)</f>
        <v>1.3321842089971085</v>
      </c>
      <c r="H181" s="41"/>
      <c r="I181" s="160"/>
      <c r="J181" s="224"/>
      <c r="K181" s="225"/>
      <c r="L181" s="226"/>
      <c r="M181" s="135"/>
    </row>
    <row r="182" spans="2:13">
      <c r="B182" s="136">
        <f t="shared" si="8"/>
        <v>101</v>
      </c>
      <c r="C182" s="137"/>
      <c r="D182" s="132" t="s">
        <v>142</v>
      </c>
      <c r="E182" s="190" t="s">
        <v>300</v>
      </c>
      <c r="F182" s="214"/>
      <c r="G182" s="115">
        <v>0</v>
      </c>
      <c r="H182" s="3"/>
      <c r="I182" s="160"/>
      <c r="J182" s="909"/>
      <c r="K182" s="148"/>
      <c r="M182" s="149"/>
    </row>
    <row r="183" spans="2:13">
      <c r="B183" s="136">
        <f t="shared" ref="B183:B189" si="9">+B182+1</f>
        <v>102</v>
      </c>
      <c r="C183" s="137"/>
      <c r="D183" s="132" t="s">
        <v>558</v>
      </c>
      <c r="E183" s="135" t="s">
        <v>762</v>
      </c>
      <c r="F183" s="216"/>
      <c r="G183" s="115">
        <v>1203101.6828296781</v>
      </c>
      <c r="H183" s="3"/>
      <c r="I183" s="162" t="s">
        <v>638</v>
      </c>
      <c r="J183" s="150">
        <f>NP_h</f>
        <v>0.96921224620826618</v>
      </c>
      <c r="K183" s="148"/>
      <c r="L183" s="148">
        <f>+G183*J183</f>
        <v>1166060.8844322972</v>
      </c>
      <c r="M183" s="135"/>
    </row>
    <row r="184" spans="2:13">
      <c r="B184" s="136">
        <f t="shared" si="9"/>
        <v>103</v>
      </c>
      <c r="C184" s="137"/>
      <c r="D184" s="132" t="s">
        <v>637</v>
      </c>
      <c r="E184" s="135" t="s">
        <v>762</v>
      </c>
      <c r="F184" s="216"/>
      <c r="G184" s="115">
        <v>980564.15289572673</v>
      </c>
      <c r="H184" s="3"/>
      <c r="I184" s="162" t="s">
        <v>638</v>
      </c>
      <c r="J184" s="150">
        <f>NP_h</f>
        <v>0.96921224620826618</v>
      </c>
      <c r="K184" s="148"/>
      <c r="L184" s="148">
        <f>+G184*J184</f>
        <v>950374.78517937311</v>
      </c>
      <c r="M184" s="135"/>
    </row>
    <row r="185" spans="2:13">
      <c r="B185" s="136">
        <f t="shared" si="9"/>
        <v>104</v>
      </c>
      <c r="C185" s="137"/>
      <c r="D185" s="197" t="s">
        <v>143</v>
      </c>
      <c r="E185" s="227" t="str">
        <f>"(ln "&amp;B178&amp;" * ln "&amp;B191&amp;")"</f>
        <v>(ln 97 * ln 109)</v>
      </c>
      <c r="F185" s="228"/>
      <c r="G185" s="148">
        <f>+G178*G191</f>
        <v>63007698.711105101</v>
      </c>
      <c r="H185" s="3"/>
      <c r="I185" s="160"/>
      <c r="J185" s="903"/>
      <c r="K185" s="148"/>
      <c r="L185" s="148">
        <f>+L191*G178</f>
        <v>61595141.254897878</v>
      </c>
      <c r="M185" s="135"/>
    </row>
    <row r="186" spans="2:13">
      <c r="B186" s="136">
        <f t="shared" si="9"/>
        <v>105</v>
      </c>
      <c r="C186" s="137"/>
      <c r="D186" s="127" t="s">
        <v>144</v>
      </c>
      <c r="E186" s="227" t="str">
        <f>"(ln "&amp;B181&amp;" * ln "&amp;B182&amp;")"</f>
        <v>(ln 100 * ln 101)</v>
      </c>
      <c r="F186" s="227"/>
      <c r="G186" s="148">
        <f>G181*G182</f>
        <v>0</v>
      </c>
      <c r="H186" s="3"/>
      <c r="I186" s="162" t="s">
        <v>638</v>
      </c>
      <c r="J186" s="150">
        <f>NP_h</f>
        <v>0.96921224620826618</v>
      </c>
      <c r="K186" s="148"/>
      <c r="L186" s="148">
        <f>+G186*J186</f>
        <v>0</v>
      </c>
      <c r="M186" s="135"/>
    </row>
    <row r="187" spans="2:13">
      <c r="B187" s="136">
        <f t="shared" si="9"/>
        <v>106</v>
      </c>
      <c r="C187" s="137"/>
      <c r="D187" s="127" t="s">
        <v>558</v>
      </c>
      <c r="E187" s="227" t="str">
        <f>"(ln "&amp;B181&amp;" * ln "&amp;B183&amp;")"</f>
        <v>(ln 100 * ln 102)</v>
      </c>
      <c r="F187" s="227"/>
      <c r="G187" s="148">
        <f>G181*G183</f>
        <v>1602753.0636835448</v>
      </c>
      <c r="H187" s="3"/>
      <c r="I187" s="162"/>
      <c r="J187" s="150"/>
      <c r="K187" s="148"/>
      <c r="L187" s="148">
        <f>G181*L183</f>
        <v>1553407.8969699086</v>
      </c>
      <c r="M187" s="135"/>
    </row>
    <row r="188" spans="2:13">
      <c r="B188" s="136">
        <f t="shared" si="9"/>
        <v>107</v>
      </c>
      <c r="C188" s="137"/>
      <c r="D188" s="132" t="s">
        <v>637</v>
      </c>
      <c r="E188" s="227" t="str">
        <f>"(ln "&amp;B181&amp;" * ln "&amp;B184&amp;")"</f>
        <v>(ln 100 * ln 103)</v>
      </c>
      <c r="F188" s="227"/>
      <c r="G188" s="904">
        <f>G181*G184</f>
        <v>1306292.0803963135</v>
      </c>
      <c r="H188" s="3"/>
      <c r="I188" s="162"/>
      <c r="J188" s="150"/>
      <c r="K188" s="148"/>
      <c r="L188" s="904">
        <f>G181*L184</f>
        <v>1266074.2814449801</v>
      </c>
      <c r="M188" s="135"/>
    </row>
    <row r="189" spans="2:13">
      <c r="B189" s="194">
        <f t="shared" si="9"/>
        <v>108</v>
      </c>
      <c r="C189" s="137"/>
      <c r="D189" s="197" t="s">
        <v>367</v>
      </c>
      <c r="E189" s="135" t="str">
        <f>"(sum lns "&amp;B185&amp;" to "&amp;B188&amp;")"</f>
        <v>(sum lns 104 to 107)</v>
      </c>
      <c r="F189" s="227"/>
      <c r="G189" s="162">
        <f>SUM(G185:G188)</f>
        <v>65916743.855184965</v>
      </c>
      <c r="H189" s="41"/>
      <c r="I189" s="160" t="s">
        <v>414</v>
      </c>
      <c r="J189" s="229"/>
      <c r="K189" s="148"/>
      <c r="L189" s="162">
        <f>SUM(L185:L188)</f>
        <v>64414623.433312766</v>
      </c>
      <c r="M189" s="135"/>
    </row>
    <row r="190" spans="2:13">
      <c r="B190" s="194"/>
      <c r="C190" s="137"/>
      <c r="D190" s="197"/>
      <c r="E190" s="135"/>
      <c r="F190" s="227"/>
      <c r="G190" s="162"/>
      <c r="H190" s="41"/>
      <c r="I190" s="160"/>
      <c r="J190" s="229"/>
      <c r="K190" s="148"/>
      <c r="L190" s="162"/>
      <c r="M190" s="135"/>
    </row>
    <row r="191" spans="2:13">
      <c r="B191" s="194">
        <f>+B189+1</f>
        <v>109</v>
      </c>
      <c r="C191" s="137"/>
      <c r="D191" s="197" t="s">
        <v>489</v>
      </c>
      <c r="E191" s="197" t="str">
        <f>"(ln "&amp;B118&amp;" * ln "&amp;B252&amp;")"</f>
        <v>(ln 58 * ln 139)</v>
      </c>
      <c r="F191" s="193"/>
      <c r="G191" s="1025">
        <f>+$L252*G118</f>
        <v>251375345.43136469</v>
      </c>
      <c r="H191" s="135"/>
      <c r="I191" s="160"/>
      <c r="J191" s="148"/>
      <c r="K191" s="148"/>
      <c r="L191" s="1025">
        <f>+L252*L118</f>
        <v>245739810.000626</v>
      </c>
      <c r="M191" s="135"/>
    </row>
    <row r="192" spans="2:13">
      <c r="B192" s="136"/>
      <c r="C192" s="137"/>
      <c r="D192" s="197"/>
      <c r="G192" s="148"/>
      <c r="H192" s="148"/>
      <c r="I192" s="160"/>
      <c r="J192" s="160"/>
      <c r="K192" s="148"/>
      <c r="L192" s="148"/>
      <c r="M192" s="135"/>
    </row>
    <row r="193" spans="2:13">
      <c r="B193" s="136">
        <f>+B191+1</f>
        <v>110</v>
      </c>
      <c r="C193" s="137"/>
      <c r="D193" s="230" t="s">
        <v>398</v>
      </c>
      <c r="F193" s="180"/>
      <c r="G193" s="148">
        <f>-'WS D IPP Credits'!C13</f>
        <v>0</v>
      </c>
      <c r="H193" s="148"/>
      <c r="I193" s="198" t="s">
        <v>428</v>
      </c>
      <c r="J193" s="150">
        <v>1</v>
      </c>
      <c r="K193" s="183"/>
      <c r="L193" s="148">
        <f>+J193*G193</f>
        <v>0</v>
      </c>
      <c r="M193" s="182"/>
    </row>
    <row r="194" spans="2:13">
      <c r="B194" s="136"/>
      <c r="C194" s="137"/>
      <c r="D194" s="230"/>
      <c r="F194" s="180"/>
      <c r="G194" s="148"/>
      <c r="H194" s="148"/>
      <c r="I194" s="198"/>
      <c r="J194" s="150"/>
      <c r="K194" s="183"/>
      <c r="L194" s="148"/>
      <c r="M194" s="182"/>
    </row>
    <row r="195" spans="2:13">
      <c r="B195" s="136">
        <f>+B193+1</f>
        <v>111</v>
      </c>
      <c r="C195" s="137"/>
      <c r="D195" s="230" t="str">
        <f>"(Gains) / Losses on Sales of Plant Held for Future Use (Worksheet N, ln "&amp;'WS N - Sale of Plant Held'!A33&amp;", Cols. ("&amp;'WS N - Sale of Plant Held'!O12&amp;" &amp; "&amp;'WS N - Sale of Plant Held'!S12&amp;")"</f>
        <v>(Gains) / Losses on Sales of Plant Held for Future Use (Worksheet N, ln 4, Cols. ((F) &amp; (H))</v>
      </c>
      <c r="F195" s="180"/>
      <c r="G195" s="148">
        <f>+'WS N - Sale of Plant Held'!O33</f>
        <v>0</v>
      </c>
      <c r="H195" s="148"/>
      <c r="I195" s="198"/>
      <c r="J195" s="150"/>
      <c r="K195" s="183"/>
      <c r="L195" s="148">
        <f>'WS N - Sale of Plant Held'!S33</f>
        <v>0</v>
      </c>
      <c r="M195" s="182"/>
    </row>
    <row r="196" spans="2:13">
      <c r="B196" s="136"/>
      <c r="C196" s="137"/>
      <c r="D196" s="230"/>
      <c r="F196" s="180"/>
      <c r="G196" s="148"/>
      <c r="H196" s="148"/>
      <c r="I196" s="198"/>
      <c r="J196" s="150"/>
      <c r="K196" s="183"/>
      <c r="L196" s="148"/>
      <c r="M196" s="182"/>
    </row>
    <row r="197" spans="2:13">
      <c r="B197" s="136">
        <f>+B195+1</f>
        <v>112</v>
      </c>
      <c r="C197" s="137"/>
      <c r="D197" s="230" t="str">
        <f>" Tax Impact on Net Loss / (Gain) on Sales of Plant Held for Future Use (ln "&amp;B195&amp;" * ln"&amp;B178&amp;")"</f>
        <v xml:space="preserve"> Tax Impact on Net Loss / (Gain) on Sales of Plant Held for Future Use (ln 111 * ln97)</v>
      </c>
      <c r="F197" s="180"/>
      <c r="G197" s="148">
        <f>-+G178*G195</f>
        <v>0</v>
      </c>
      <c r="H197" s="148"/>
      <c r="I197" s="198"/>
      <c r="J197" s="150"/>
      <c r="K197" s="183"/>
      <c r="L197" s="148">
        <f>L195*-G178</f>
        <v>0</v>
      </c>
      <c r="M197" s="182"/>
    </row>
    <row r="198" spans="2:13" ht="15.75" thickBot="1">
      <c r="B198" s="136"/>
      <c r="C198" s="137"/>
      <c r="D198" s="132"/>
      <c r="G198" s="184"/>
      <c r="H198" s="231"/>
      <c r="I198" s="160"/>
      <c r="J198" s="160"/>
      <c r="K198" s="148"/>
      <c r="L198" s="184"/>
      <c r="M198" s="135"/>
    </row>
    <row r="199" spans="2:13" ht="15.75" thickBot="1">
      <c r="B199" s="136">
        <f>+B197+1</f>
        <v>113</v>
      </c>
      <c r="C199" s="137"/>
      <c r="D199" s="127" t="s">
        <v>47</v>
      </c>
      <c r="G199" s="232">
        <f>+G193+G191+G189+G174+G165+G158+G195+G197</f>
        <v>520220753.37095243</v>
      </c>
      <c r="L199" s="232">
        <f>+L193+L191+L189+L174+L165+L158+L195+L197</f>
        <v>507686124.03842551</v>
      </c>
      <c r="M199" s="135"/>
    </row>
    <row r="200" spans="2:13" ht="15.75" thickTop="1">
      <c r="B200" s="136"/>
      <c r="C200" s="137"/>
      <c r="D200" s="132" t="str">
        <f>"    (sum lns "&amp;B158&amp;", "&amp;B165&amp;", "&amp;B174&amp;", "&amp;B189&amp;", "&amp;B191&amp;", "&amp;B193&amp;", "&amp;B195&amp;", "&amp;B197&amp;")"</f>
        <v xml:space="preserve">    (sum lns 81, 86, 94, 108, 109, 110, 111, 112)</v>
      </c>
      <c r="F200" s="144"/>
      <c r="M200" s="135"/>
    </row>
    <row r="201" spans="2:13">
      <c r="B201" s="136"/>
      <c r="C201" s="137"/>
      <c r="F201" s="144"/>
      <c r="M201" s="135"/>
    </row>
    <row r="202" spans="2:13">
      <c r="B202" s="136"/>
      <c r="C202" s="137"/>
      <c r="D202" s="132"/>
      <c r="F202" s="202" t="str">
        <f>F121</f>
        <v>AEPTCo subsidiaries in PJM</v>
      </c>
      <c r="M202" s="201"/>
    </row>
    <row r="203" spans="2:13">
      <c r="B203" s="136"/>
      <c r="C203" s="137"/>
      <c r="D203" s="132"/>
      <c r="F203" s="202" t="str">
        <f>F122</f>
        <v>Transmission Cost of Service Formula Rate</v>
      </c>
      <c r="M203" s="201"/>
    </row>
    <row r="204" spans="2:13">
      <c r="B204" s="127"/>
      <c r="C204" s="137"/>
      <c r="F204" s="202" t="str">
        <f>F123</f>
        <v>Utilizing  Actual/Projected FERC Form 1 Data</v>
      </c>
      <c r="M204" s="166"/>
    </row>
    <row r="205" spans="2:13">
      <c r="B205" s="136"/>
      <c r="C205" s="137"/>
      <c r="E205" s="202"/>
      <c r="F205" s="202"/>
      <c r="G205" s="202"/>
      <c r="H205" s="202"/>
      <c r="I205" s="202"/>
      <c r="J205" s="202"/>
      <c r="K205" s="202"/>
      <c r="M205" s="135"/>
    </row>
    <row r="206" spans="2:13">
      <c r="B206" s="136"/>
      <c r="C206" s="137"/>
      <c r="E206" s="132"/>
      <c r="F206" s="202" t="str">
        <f>F125</f>
        <v>AEP Indiana Michigan Transmission Company</v>
      </c>
      <c r="G206" s="132"/>
      <c r="H206" s="132"/>
      <c r="I206" s="132"/>
      <c r="J206" s="132"/>
      <c r="K206" s="132"/>
      <c r="L206" s="132"/>
      <c r="M206" s="132"/>
    </row>
    <row r="207" spans="2:13">
      <c r="B207" s="136"/>
      <c r="C207" s="137"/>
      <c r="E207" s="132"/>
      <c r="F207" s="202"/>
      <c r="G207" s="132"/>
      <c r="H207" s="132"/>
      <c r="I207" s="132"/>
      <c r="J207" s="132"/>
      <c r="K207" s="132"/>
      <c r="L207" s="132"/>
      <c r="M207" s="132"/>
    </row>
    <row r="208" spans="2:13" ht="15.75">
      <c r="B208" s="136"/>
      <c r="C208" s="137"/>
      <c r="F208" s="203" t="s">
        <v>372</v>
      </c>
      <c r="H208" s="132"/>
      <c r="I208" s="132"/>
      <c r="J208" s="132"/>
      <c r="K208" s="132"/>
      <c r="L208" s="132"/>
      <c r="M208" s="135"/>
    </row>
    <row r="209" spans="2:14" ht="15.75">
      <c r="B209" s="136"/>
      <c r="C209" s="137"/>
      <c r="D209" s="233"/>
      <c r="E209" s="132"/>
      <c r="F209" s="132"/>
      <c r="G209" s="132"/>
      <c r="H209" s="132"/>
      <c r="I209" s="132"/>
      <c r="J209" s="132"/>
      <c r="K209" s="132"/>
      <c r="L209" s="132"/>
      <c r="M209" s="135"/>
    </row>
    <row r="210" spans="2:14" ht="15.75">
      <c r="B210" s="136" t="s">
        <v>416</v>
      </c>
      <c r="C210" s="137"/>
      <c r="D210" s="233"/>
      <c r="E210" s="132"/>
      <c r="F210" s="132"/>
      <c r="G210" s="132"/>
      <c r="H210" s="132"/>
      <c r="I210" s="132"/>
      <c r="J210" s="132"/>
      <c r="K210" s="132"/>
      <c r="L210" s="132"/>
      <c r="M210" s="135"/>
    </row>
    <row r="211" spans="2:14" ht="15.75" thickBot="1">
      <c r="B211" s="142" t="s">
        <v>417</v>
      </c>
      <c r="C211" s="137"/>
      <c r="D211" s="132" t="s">
        <v>510</v>
      </c>
      <c r="E211" s="132"/>
      <c r="F211" s="132"/>
      <c r="G211" s="132"/>
      <c r="H211" s="132"/>
      <c r="I211" s="132"/>
      <c r="J211" s="132"/>
      <c r="M211" s="135"/>
      <c r="N211"/>
    </row>
    <row r="212" spans="2:14">
      <c r="B212" s="136">
        <f>+B199+1</f>
        <v>114</v>
      </c>
      <c r="C212" s="137"/>
      <c r="D212" s="132" t="s">
        <v>464</v>
      </c>
      <c r="E212" s="234" t="str">
        <f>"(ln "&amp;B63&amp;")"</f>
        <v>(ln 19)</v>
      </c>
      <c r="F212" s="132"/>
      <c r="H212" s="135"/>
      <c r="I212" s="135"/>
      <c r="J212" s="135"/>
      <c r="K212" s="135"/>
      <c r="L212" s="148">
        <f>+G63</f>
        <v>4258089909.3384619</v>
      </c>
      <c r="M212" s="135"/>
      <c r="N212"/>
    </row>
    <row r="213" spans="2:14">
      <c r="B213" s="136">
        <f>+B212+1</f>
        <v>115</v>
      </c>
      <c r="C213" s="137"/>
      <c r="D213" s="132" t="str">
        <f>"  Less transmission plant excluded from PJM Tariff  (Worksheet A, ln "&amp;'WS A - Rate Base Support'!A62&amp;"."&amp;'WS A - Rate Base Support'!E47&amp;") (Note P)"</f>
        <v xml:space="preserve">  Less transmission plant excluded from PJM Tariff  (Worksheet A, ln 42.(d)) (Note P)</v>
      </c>
      <c r="G213" s="202"/>
      <c r="L213" s="115">
        <f>'WS A - Rate Base Support'!E62</f>
        <v>131690476.04923078</v>
      </c>
      <c r="M213" s="135"/>
      <c r="N213"/>
    </row>
    <row r="214" spans="2:14" ht="36" customHeight="1" thickBot="1">
      <c r="B214" s="136">
        <f>+B213+1</f>
        <v>116</v>
      </c>
      <c r="C214" s="137"/>
      <c r="D214" s="132" t="str">
        <f>"  Less transmission plant included in OATT Ancillary Services (Worksheet A, ln "&amp;'WS A - Rate Base Support'!A62&amp;", Col. "&amp;'WS A - Rate Base Support'!C47&amp;")  (Note Q)"</f>
        <v xml:space="preserve">  Less transmission plant included in OATT Ancillary Services (Worksheet A, ln 42, Col. (b))  (Note Q)</v>
      </c>
      <c r="E214" s="132"/>
      <c r="F214" s="132"/>
      <c r="G214" s="149"/>
      <c r="H214" s="135"/>
      <c r="I214" s="135"/>
      <c r="J214" s="149"/>
      <c r="K214" s="135"/>
      <c r="L214" s="184">
        <f>'WS A - Rate Base Support'!C62</f>
        <v>0</v>
      </c>
      <c r="M214" s="135"/>
      <c r="N214"/>
    </row>
    <row r="215" spans="2:14">
      <c r="B215" s="136">
        <f>+B214+1</f>
        <v>117</v>
      </c>
      <c r="C215" s="137"/>
      <c r="D215" s="132" t="s">
        <v>511</v>
      </c>
      <c r="E215" s="146" t="str">
        <f>"(ln "&amp;B212&amp;" - ln "&amp;B213&amp;" - ln "&amp;B214&amp;")"</f>
        <v>(ln 114 - ln 115 - ln 116)</v>
      </c>
      <c r="F215" s="132"/>
      <c r="H215" s="135"/>
      <c r="I215" s="135"/>
      <c r="J215" s="149"/>
      <c r="K215" s="135"/>
      <c r="L215" s="148">
        <f>L212-L213-L214</f>
        <v>4126399433.2892313</v>
      </c>
      <c r="M215" s="135"/>
      <c r="N215"/>
    </row>
    <row r="216" spans="2:14" ht="9" customHeight="1">
      <c r="B216" s="136"/>
      <c r="C216" s="137"/>
      <c r="E216" s="132"/>
      <c r="F216" s="132"/>
      <c r="G216" s="149"/>
      <c r="H216" s="135"/>
      <c r="I216" s="135"/>
      <c r="J216" s="149"/>
      <c r="K216" s="135"/>
      <c r="M216" s="135"/>
      <c r="N216"/>
    </row>
    <row r="217" spans="2:14" ht="15.75" customHeight="1">
      <c r="B217" s="136">
        <f>+B215+1</f>
        <v>118</v>
      </c>
      <c r="C217" s="137"/>
      <c r="D217" s="132" t="s">
        <v>512</v>
      </c>
      <c r="E217" s="137" t="str">
        <f>"(ln "&amp;B215&amp;" / ln "&amp;B212&amp;")"</f>
        <v>(ln 117 / ln 114)</v>
      </c>
      <c r="F217" s="140"/>
      <c r="H217" s="140"/>
      <c r="I217" s="138"/>
      <c r="J217" s="138"/>
      <c r="K217" s="195" t="s">
        <v>441</v>
      </c>
      <c r="L217" s="235">
        <f>IF(L212=0,1,L215/L212)</f>
        <v>0.96907287566652389</v>
      </c>
      <c r="M217" s="135"/>
      <c r="N217"/>
    </row>
    <row r="218" spans="2:14" ht="15.75">
      <c r="B218" s="136"/>
      <c r="C218" s="137"/>
      <c r="D218" s="233"/>
      <c r="E218" s="132"/>
      <c r="F218" s="132"/>
      <c r="G218" s="135"/>
      <c r="H218" s="132"/>
      <c r="I218" s="137"/>
      <c r="J218" s="132"/>
      <c r="K218" s="132"/>
      <c r="L218" s="132"/>
      <c r="M218" s="135"/>
    </row>
    <row r="219" spans="2:14">
      <c r="B219" s="136" t="s">
        <v>1037</v>
      </c>
      <c r="C219" s="137"/>
      <c r="D219" s="132" t="s">
        <v>1038</v>
      </c>
      <c r="E219" s="132"/>
      <c r="F219" s="132"/>
      <c r="G219" s="135"/>
      <c r="H219" s="132"/>
      <c r="I219" s="137"/>
      <c r="J219" s="132"/>
      <c r="K219" s="132"/>
      <c r="L219" s="132"/>
      <c r="M219" s="135"/>
    </row>
    <row r="220" spans="2:14" ht="15.75">
      <c r="B220" s="136" t="s">
        <v>1039</v>
      </c>
      <c r="C220" s="137"/>
      <c r="D220" s="233" t="s">
        <v>1040</v>
      </c>
      <c r="E220" s="132" t="s">
        <v>1041</v>
      </c>
      <c r="F220" s="132"/>
      <c r="G220" s="135"/>
      <c r="H220" s="132"/>
      <c r="I220" s="137"/>
      <c r="J220" s="132"/>
      <c r="K220" s="132"/>
      <c r="L220" s="148">
        <f>G68</f>
        <v>0</v>
      </c>
      <c r="M220" s="135"/>
    </row>
    <row r="221" spans="2:14" ht="15.75">
      <c r="B221" s="136" t="s">
        <v>1042</v>
      </c>
      <c r="C221" s="137"/>
      <c r="D221" s="233" t="s">
        <v>1043</v>
      </c>
      <c r="E221" s="132" t="s">
        <v>1044</v>
      </c>
      <c r="F221" s="132"/>
      <c r="G221" s="135"/>
      <c r="H221" s="132"/>
      <c r="I221" s="137"/>
      <c r="J221" s="132"/>
      <c r="K221" s="132"/>
      <c r="L221" s="132">
        <f>'WS A - Rate Base Support'!G62</f>
        <v>0</v>
      </c>
      <c r="M221" s="135"/>
    </row>
    <row r="222" spans="2:14" ht="15.75">
      <c r="B222" s="136" t="s">
        <v>1045</v>
      </c>
      <c r="C222" s="137"/>
      <c r="D222" s="233" t="s">
        <v>1046</v>
      </c>
      <c r="E222" s="132" t="s">
        <v>1047</v>
      </c>
      <c r="F222" s="132"/>
      <c r="G222" s="135"/>
      <c r="H222" s="132"/>
      <c r="I222" s="137"/>
      <c r="J222" s="132"/>
      <c r="K222" s="132"/>
      <c r="L222" s="148">
        <f>L220-L221</f>
        <v>0</v>
      </c>
      <c r="M222" s="135"/>
    </row>
    <row r="223" spans="2:14" ht="15.75">
      <c r="B223" s="136"/>
      <c r="C223" s="137"/>
      <c r="D223" s="233"/>
      <c r="E223" s="132"/>
      <c r="F223" s="132"/>
      <c r="G223" s="135"/>
      <c r="H223" s="132"/>
      <c r="I223" s="137"/>
      <c r="J223" s="132"/>
      <c r="K223" s="132"/>
      <c r="L223" s="132"/>
      <c r="M223" s="135"/>
    </row>
    <row r="224" spans="2:14" ht="15.75">
      <c r="B224" s="136" t="s">
        <v>1048</v>
      </c>
      <c r="C224" s="137"/>
      <c r="D224" s="132" t="s">
        <v>1049</v>
      </c>
      <c r="E224" s="132" t="s">
        <v>1050</v>
      </c>
      <c r="F224" s="132"/>
      <c r="G224" s="135"/>
      <c r="H224" s="132"/>
      <c r="I224" s="137"/>
      <c r="J224" s="132"/>
      <c r="K224" s="132" t="s">
        <v>1051</v>
      </c>
      <c r="L224" s="233">
        <f>IFERROR(L222/L220,1)</f>
        <v>1</v>
      </c>
      <c r="M224" s="135"/>
    </row>
    <row r="225" spans="2:13" ht="15.75">
      <c r="B225" s="136"/>
      <c r="C225" s="137"/>
      <c r="D225" s="233"/>
      <c r="E225" s="132"/>
      <c r="F225" s="132"/>
      <c r="G225" s="135"/>
      <c r="H225" s="132"/>
      <c r="I225" s="137"/>
      <c r="J225" s="132"/>
      <c r="K225" s="132"/>
      <c r="L225" s="132"/>
      <c r="M225" s="135"/>
    </row>
    <row r="226" spans="2:13" ht="45">
      <c r="B226" s="136">
        <f>B217+1</f>
        <v>119</v>
      </c>
      <c r="C226" s="137"/>
      <c r="D226" s="132" t="s">
        <v>373</v>
      </c>
      <c r="E226" s="149" t="s">
        <v>145</v>
      </c>
      <c r="F226" s="149" t="s">
        <v>482</v>
      </c>
      <c r="G226" s="236" t="s">
        <v>504</v>
      </c>
      <c r="H226" s="202" t="s">
        <v>418</v>
      </c>
      <c r="I226" s="149"/>
      <c r="J226" s="135"/>
      <c r="K226" s="135"/>
      <c r="L226" s="135"/>
      <c r="M226" s="135"/>
    </row>
    <row r="227" spans="2:13">
      <c r="B227" s="136">
        <f t="shared" ref="B227:B233" si="10">+B226+1</f>
        <v>120</v>
      </c>
      <c r="C227" s="137"/>
      <c r="D227" s="177" t="s">
        <v>320</v>
      </c>
      <c r="E227" s="135"/>
      <c r="F227" s="135"/>
      <c r="G227" s="148"/>
      <c r="H227" s="148"/>
      <c r="I227" s="149"/>
      <c r="J227" s="150"/>
      <c r="K227" s="135"/>
      <c r="L227" s="148"/>
      <c r="M227" s="135"/>
    </row>
    <row r="228" spans="2:13">
      <c r="B228" s="136">
        <f t="shared" si="10"/>
        <v>121</v>
      </c>
      <c r="C228" s="137"/>
      <c r="D228" s="132" t="s">
        <v>427</v>
      </c>
      <c r="E228" s="135" t="s">
        <v>349</v>
      </c>
      <c r="F228" s="115">
        <v>0</v>
      </c>
      <c r="G228" s="114">
        <v>9010323.5881497413</v>
      </c>
      <c r="H228" s="237">
        <f>+F228+G228</f>
        <v>9010323.5881497413</v>
      </c>
      <c r="I228" s="137" t="s">
        <v>420</v>
      </c>
      <c r="J228" s="150">
        <f>L217</f>
        <v>0.96907287566652389</v>
      </c>
      <c r="K228" s="238"/>
      <c r="L228" s="148">
        <f>(F228+G228)*J228</f>
        <v>8731660.1902541816</v>
      </c>
      <c r="M228" s="135"/>
    </row>
    <row r="229" spans="2:13">
      <c r="B229" s="136">
        <f t="shared" si="10"/>
        <v>122</v>
      </c>
      <c r="C229" s="137"/>
      <c r="D229" s="132" t="s">
        <v>550</v>
      </c>
      <c r="E229" s="135" t="s">
        <v>262</v>
      </c>
      <c r="F229" s="115">
        <v>0</v>
      </c>
      <c r="G229" s="115">
        <v>0</v>
      </c>
      <c r="H229" s="148">
        <f>+F229+G229</f>
        <v>0</v>
      </c>
      <c r="I229" s="149" t="s">
        <v>426</v>
      </c>
      <c r="J229" s="150">
        <v>0</v>
      </c>
      <c r="K229" s="238"/>
      <c r="L229" s="148">
        <f>(F229+G229)*J229</f>
        <v>0</v>
      </c>
      <c r="M229" s="135"/>
    </row>
    <row r="230" spans="2:13">
      <c r="B230" s="136" t="s">
        <v>1052</v>
      </c>
      <c r="C230" s="137"/>
      <c r="D230" s="132" t="s">
        <v>1053</v>
      </c>
      <c r="E230" s="135" t="s">
        <v>1054</v>
      </c>
      <c r="F230" s="1122"/>
      <c r="G230" s="1122"/>
      <c r="H230" s="237">
        <f t="shared" ref="H230" si="11">+F230+G230</f>
        <v>0</v>
      </c>
      <c r="I230" s="149" t="s">
        <v>1055</v>
      </c>
      <c r="J230" s="150">
        <f>$L$224</f>
        <v>1</v>
      </c>
      <c r="K230" s="238"/>
      <c r="L230" s="148">
        <f t="shared" ref="L230" si="12">(F230+G230)*J230</f>
        <v>0</v>
      </c>
      <c r="M230" s="135"/>
    </row>
    <row r="231" spans="2:13">
      <c r="B231" s="136">
        <f>+B229+1</f>
        <v>123</v>
      </c>
      <c r="C231" s="137"/>
      <c r="D231" s="177" t="s">
        <v>320</v>
      </c>
      <c r="E231" s="135"/>
      <c r="F231" s="135"/>
      <c r="G231" s="148"/>
      <c r="H231" s="148"/>
      <c r="I231" s="149"/>
      <c r="J231" s="150"/>
      <c r="K231" s="135"/>
      <c r="L231" s="148"/>
      <c r="M231" s="135"/>
    </row>
    <row r="232" spans="2:13" ht="15.75" thickBot="1">
      <c r="B232" s="136">
        <f t="shared" si="10"/>
        <v>124</v>
      </c>
      <c r="C232" s="137"/>
      <c r="D232" s="132" t="s">
        <v>491</v>
      </c>
      <c r="E232" s="135" t="s">
        <v>214</v>
      </c>
      <c r="F232" s="113">
        <v>0</v>
      </c>
      <c r="G232" s="113">
        <v>0</v>
      </c>
      <c r="H232" s="184">
        <f>+F232+G232</f>
        <v>0</v>
      </c>
      <c r="I232" s="149" t="s">
        <v>426</v>
      </c>
      <c r="J232" s="150">
        <v>0</v>
      </c>
      <c r="K232" s="238"/>
      <c r="L232" s="184">
        <f>(F232+G232)*J232</f>
        <v>0</v>
      </c>
      <c r="M232" s="135"/>
    </row>
    <row r="233" spans="2:13" ht="15.75">
      <c r="B233" s="136">
        <f t="shared" si="10"/>
        <v>125</v>
      </c>
      <c r="C233" s="137"/>
      <c r="D233" s="132" t="s">
        <v>418</v>
      </c>
      <c r="E233" s="135" t="str">
        <f>"(sum lns "&amp;B228&amp;", "&amp;B229&amp;", &amp; "&amp;B232&amp;")"</f>
        <v>(sum lns 121, 122, &amp; 124)</v>
      </c>
      <c r="F233" s="148">
        <f>SUM(F227:F232)</f>
        <v>0</v>
      </c>
      <c r="G233" s="135">
        <f>SUM(G227:G232)</f>
        <v>9010323.5881497413</v>
      </c>
      <c r="H233" s="135">
        <f>SUM(H227:H232)</f>
        <v>9010323.5881497413</v>
      </c>
      <c r="I233" s="149"/>
      <c r="J233" s="135"/>
      <c r="K233" s="135"/>
      <c r="L233" s="148">
        <f>SUM(L227:L232)</f>
        <v>8731660.1902541816</v>
      </c>
      <c r="M233" s="170"/>
    </row>
    <row r="234" spans="2:13">
      <c r="B234" s="136"/>
      <c r="C234" s="137"/>
      <c r="D234" s="132" t="s">
        <v>414</v>
      </c>
      <c r="E234" s="135" t="s">
        <v>414</v>
      </c>
      <c r="F234" s="135"/>
      <c r="H234" s="135"/>
      <c r="I234" s="202"/>
    </row>
    <row r="235" spans="2:13" ht="15.75">
      <c r="B235" s="136">
        <f>B233+1</f>
        <v>126</v>
      </c>
      <c r="C235" s="137"/>
      <c r="D235" s="132" t="s">
        <v>374</v>
      </c>
      <c r="E235" s="135"/>
      <c r="F235" s="135"/>
      <c r="G235" s="135"/>
      <c r="H235" s="135"/>
      <c r="I235" s="202"/>
      <c r="K235" s="185" t="s">
        <v>375</v>
      </c>
      <c r="L235" s="239">
        <f>L233/(F233+G233)</f>
        <v>0.96907287566652389</v>
      </c>
    </row>
    <row r="236" spans="2:13" ht="15.75">
      <c r="B236" s="136"/>
      <c r="C236" s="137"/>
      <c r="D236" s="132"/>
      <c r="E236" s="135"/>
      <c r="F236" s="135"/>
      <c r="G236" s="135"/>
      <c r="H236" s="135"/>
      <c r="I236" s="202"/>
      <c r="K236" s="185"/>
      <c r="L236" s="239"/>
    </row>
    <row r="237" spans="2:13" ht="15.75">
      <c r="B237" s="136"/>
      <c r="C237" s="137"/>
      <c r="D237" s="240" t="s">
        <v>157</v>
      </c>
      <c r="E237" s="135"/>
      <c r="F237" s="135"/>
      <c r="G237" s="135"/>
      <c r="H237" s="135"/>
      <c r="I237" s="149"/>
      <c r="J237" s="135"/>
      <c r="K237" s="135"/>
      <c r="L237" s="135"/>
      <c r="M237" s="135"/>
    </row>
    <row r="238" spans="2:13" ht="15.75" thickBot="1">
      <c r="B238" s="136">
        <f>B235+1</f>
        <v>127</v>
      </c>
      <c r="C238" s="137"/>
      <c r="D238" s="132" t="s">
        <v>488</v>
      </c>
      <c r="E238" s="135"/>
      <c r="F238" s="135"/>
      <c r="G238" s="135"/>
      <c r="H238" s="135"/>
      <c r="I238" s="135"/>
      <c r="J238" s="135"/>
      <c r="K238" s="135"/>
      <c r="L238" s="241" t="s">
        <v>442</v>
      </c>
      <c r="M238" s="135"/>
    </row>
    <row r="239" spans="2:13" ht="15.75">
      <c r="B239" s="136">
        <f>B238+1</f>
        <v>128</v>
      </c>
      <c r="C239" s="137"/>
      <c r="D239" s="135" t="s">
        <v>508</v>
      </c>
      <c r="E239" s="127" t="str">
        <f>"(Worksheet M, ln."&amp;'WS M - Cost of Capital'!A55&amp;", col."&amp;'WS M - Cost of Capital'!E47&amp;")"</f>
        <v>(Worksheet M, ln.36, col.(d))</v>
      </c>
      <c r="F239" s="135"/>
      <c r="G239" s="196"/>
      <c r="H239" s="196"/>
      <c r="I239" s="196"/>
      <c r="J239" s="175" t="s">
        <v>414</v>
      </c>
      <c r="K239" s="135"/>
      <c r="L239" s="242">
        <f>'WS M - Cost of Capital'!E55</f>
        <v>66274514.380000003</v>
      </c>
      <c r="M239" s="135"/>
    </row>
    <row r="240" spans="2:13">
      <c r="B240" s="136">
        <f t="shared" ref="B240:B246" si="13">B239+1</f>
        <v>129</v>
      </c>
      <c r="C240" s="137"/>
      <c r="D240" s="135" t="s">
        <v>509</v>
      </c>
      <c r="E240" s="127" t="str">
        <f>"(Worksheet M, ln. "&amp;'WS M - Cost of Capital'!A75&amp;", col."&amp;'WS M - Cost of Capital'!E47&amp;")"</f>
        <v>(Worksheet M, ln. 45, col.(d))</v>
      </c>
      <c r="F240" s="135"/>
      <c r="G240" s="196"/>
      <c r="H240" s="196"/>
      <c r="I240" s="196"/>
      <c r="J240" s="135"/>
      <c r="K240" s="135"/>
      <c r="L240" s="148">
        <f>'WS M - Cost of Capital'!E75</f>
        <v>0</v>
      </c>
      <c r="M240" s="135"/>
    </row>
    <row r="241" spans="2:13">
      <c r="B241" s="136">
        <f t="shared" si="13"/>
        <v>130</v>
      </c>
      <c r="C241" s="137"/>
      <c r="D241" s="243" t="s">
        <v>27</v>
      </c>
      <c r="E241" s="135"/>
      <c r="F241" s="135"/>
      <c r="G241" s="135"/>
      <c r="H241" s="3"/>
      <c r="I241" s="222"/>
      <c r="J241" s="135"/>
      <c r="K241" s="135"/>
      <c r="L241" s="148"/>
      <c r="M241" s="135"/>
    </row>
    <row r="242" spans="2:13">
      <c r="B242" s="136">
        <f t="shared" si="13"/>
        <v>131</v>
      </c>
      <c r="C242" s="137"/>
      <c r="D242" s="135" t="s">
        <v>28</v>
      </c>
      <c r="E242" s="127" t="str">
        <f>"(Worksheet M, ln. "&amp;'WS M - Cost of Capital'!A23&amp;", col."&amp;'WS M - Cost of Capital'!C8&amp;")"</f>
        <v>(Worksheet M, ln. 14, col.(b))</v>
      </c>
      <c r="F242" s="135"/>
      <c r="G242" s="132"/>
      <c r="H242" s="3"/>
      <c r="I242" s="135"/>
      <c r="J242" s="135"/>
      <c r="K242" s="135"/>
      <c r="L242" s="148">
        <f>'WS M - Cost of Capital'!C23</f>
        <v>1995818299.2522304</v>
      </c>
      <c r="M242" s="135"/>
    </row>
    <row r="243" spans="2:13">
      <c r="B243" s="136">
        <f t="shared" si="13"/>
        <v>132</v>
      </c>
      <c r="C243" s="137"/>
      <c r="D243" s="135" t="s">
        <v>171</v>
      </c>
      <c r="E243" s="127" t="str">
        <f>"(Worksheet M, ln. "&amp;'WS M - Cost of Capital'!A23&amp;", col."&amp;'WS M - Cost of Capital'!D8&amp;")"</f>
        <v>(Worksheet M, ln. 14, col.(c))</v>
      </c>
      <c r="F243" s="135"/>
      <c r="G243" s="135"/>
      <c r="H243" s="3"/>
      <c r="I243" s="135"/>
      <c r="J243" s="135"/>
      <c r="K243" s="135"/>
      <c r="L243" s="148">
        <f>'WS M - Cost of Capital'!D23</f>
        <v>0</v>
      </c>
      <c r="M243" s="135"/>
    </row>
    <row r="244" spans="2:13">
      <c r="B244" s="136">
        <f t="shared" si="13"/>
        <v>133</v>
      </c>
      <c r="C244" s="137"/>
      <c r="D244" s="135" t="s">
        <v>164</v>
      </c>
      <c r="E244" s="127" t="str">
        <f>"(Worksheet M, ln. "&amp;'WS M - Cost of Capital'!A23&amp;", col."&amp;'WS M - Cost of Capital'!E8&amp;")"</f>
        <v>(Worksheet M, ln. 14, col.(d))</v>
      </c>
      <c r="F244" s="135"/>
      <c r="G244" s="135"/>
      <c r="H244" s="3"/>
      <c r="I244" s="135"/>
      <c r="J244" s="135"/>
      <c r="K244" s="135"/>
      <c r="L244" s="148">
        <f>'WS M - Cost of Capital'!E23</f>
        <v>0</v>
      </c>
      <c r="M244" s="135"/>
    </row>
    <row r="245" spans="2:13">
      <c r="B245" s="136">
        <f t="shared" si="13"/>
        <v>134</v>
      </c>
      <c r="C245" s="137"/>
      <c r="D245" s="135" t="s">
        <v>170</v>
      </c>
      <c r="E245" s="127" t="str">
        <f>"(Worksheet M, ln. "&amp;'WS M - Cost of Capital'!A23&amp;", col."&amp;'WS M - Cost of Capital'!F8&amp;")"</f>
        <v>(Worksheet M, ln. 14, col.(e))</v>
      </c>
      <c r="F245" s="135"/>
      <c r="G245" s="135"/>
      <c r="H245" s="3"/>
      <c r="I245" s="135"/>
      <c r="J245" s="135"/>
      <c r="K245" s="135"/>
      <c r="L245" s="904">
        <f>'WS M - Cost of Capital'!F23</f>
        <v>0</v>
      </c>
      <c r="M245" s="135"/>
    </row>
    <row r="246" spans="2:13">
      <c r="B246" s="136">
        <f t="shared" si="13"/>
        <v>135</v>
      </c>
      <c r="C246" s="137"/>
      <c r="D246" s="127" t="s">
        <v>29</v>
      </c>
      <c r="E246" s="244" t="str">
        <f>"(ln "&amp;B242&amp;" - ln "&amp;B243&amp;" - ln "&amp;B244&amp;" - ln "&amp;B245&amp;")"</f>
        <v>(ln 131 - ln 132 - ln 133 - ln 134)</v>
      </c>
      <c r="F246" s="144"/>
      <c r="H246" s="132"/>
      <c r="I246" s="132"/>
      <c r="J246" s="132"/>
      <c r="K246" s="132"/>
      <c r="L246" s="148">
        <f>L242-L243-L244-L245</f>
        <v>1995818299.2522304</v>
      </c>
      <c r="M246" s="135"/>
    </row>
    <row r="247" spans="2:13" ht="15.75">
      <c r="B247" s="136"/>
      <c r="C247" s="137"/>
      <c r="D247" s="132"/>
      <c r="E247" s="135"/>
      <c r="F247" s="135"/>
      <c r="G247" s="1152" t="s">
        <v>272</v>
      </c>
      <c r="H247" s="1152"/>
      <c r="I247" s="135"/>
      <c r="J247" s="202" t="s">
        <v>443</v>
      </c>
      <c r="K247" s="135"/>
      <c r="L247" s="135"/>
      <c r="M247" s="135"/>
    </row>
    <row r="248" spans="2:13" ht="15.75" thickBot="1">
      <c r="B248" s="136"/>
      <c r="C248" s="137"/>
      <c r="D248" s="132"/>
      <c r="F248" s="135"/>
      <c r="G248" s="143" t="s">
        <v>442</v>
      </c>
      <c r="H248" s="143" t="s">
        <v>444</v>
      </c>
      <c r="I248" s="241" t="s">
        <v>831</v>
      </c>
      <c r="J248" s="245" t="s">
        <v>552</v>
      </c>
      <c r="K248" s="135"/>
      <c r="L248" s="143" t="s">
        <v>445</v>
      </c>
      <c r="M248" s="135"/>
    </row>
    <row r="249" spans="2:13" ht="15.75">
      <c r="B249" s="136">
        <f>B246+1</f>
        <v>136</v>
      </c>
      <c r="C249" s="137"/>
      <c r="D249" s="132" t="str">
        <f>"  Long Term Debt  (Note S) Worksheet M, ln "&amp;'WS M - Cost of Capital'!A42&amp;", col. (g), ln "&amp;'WS M - Cost of Capital'!A57&amp;", col. "&amp;'WS M - Cost of Capital'!E47&amp;")"</f>
        <v xml:space="preserve">  Long Term Debt  (Note S) Worksheet M, ln 28, col. (g), ln 37, col. (d))</v>
      </c>
      <c r="F249" s="175" t="s">
        <v>414</v>
      </c>
      <c r="G249" s="148">
        <f>'WS M - Cost of Capital'!H42</f>
        <v>1610634615.3846154</v>
      </c>
      <c r="H249" s="979">
        <f>IF($G$252=0,0,G249/$G$252)</f>
        <v>0.44659798796979427</v>
      </c>
      <c r="I249" s="968">
        <f>IF(H251&gt;E254,1-I251,H249)</f>
        <v>0.44999999999999996</v>
      </c>
      <c r="J249" s="157">
        <f>IF(G249=0,0,L239/G249)</f>
        <v>4.1148075266080018E-2</v>
      </c>
      <c r="L249" s="1080">
        <f>IF(H251&gt;I251,I249*J249,H249*J249)</f>
        <v>1.8516633869736007E-2</v>
      </c>
      <c r="M249" s="135"/>
    </row>
    <row r="250" spans="2:13">
      <c r="B250" s="136">
        <f>B249+1</f>
        <v>137</v>
      </c>
      <c r="C250" s="137"/>
      <c r="D250" s="132" t="str">
        <f>"  Preferred Stock (ln "&amp;B243&amp;")"</f>
        <v xml:space="preserve">  Preferred Stock (ln 132)</v>
      </c>
      <c r="G250" s="148">
        <f>L243</f>
        <v>0</v>
      </c>
      <c r="H250" s="157">
        <f>IF($G$252=0,0,G250/$G$252)</f>
        <v>0</v>
      </c>
      <c r="I250" s="968">
        <f>H250</f>
        <v>0</v>
      </c>
      <c r="J250" s="157">
        <f>IF(G250=0,0,L240/G250)</f>
        <v>0</v>
      </c>
      <c r="L250" s="246">
        <f>H250*J250</f>
        <v>0</v>
      </c>
      <c r="M250" s="135"/>
    </row>
    <row r="251" spans="2:13" ht="15.75" thickBot="1">
      <c r="B251" s="136">
        <f>B250+1</f>
        <v>138</v>
      </c>
      <c r="C251" s="137"/>
      <c r="D251" s="132" t="str">
        <f>"  Common Stock (ln "&amp;B246&amp;")"</f>
        <v xml:space="preserve">  Common Stock (ln 135)</v>
      </c>
      <c r="G251" s="184">
        <f>L246</f>
        <v>1995818299.2522304</v>
      </c>
      <c r="H251" s="247">
        <f>IF($G$252=0,0,G251/$G$252)</f>
        <v>0.55340201203020578</v>
      </c>
      <c r="I251" s="968">
        <f>IF(H251&gt;E254,E254,H251)</f>
        <v>0.55000000000000004</v>
      </c>
      <c r="J251" s="296">
        <v>0.10349999999999999</v>
      </c>
      <c r="L251" s="248">
        <f>IF(H251&gt;E254,I251*J251,H251*J251)</f>
        <v>5.6925000000000003E-2</v>
      </c>
      <c r="M251" s="135"/>
    </row>
    <row r="252" spans="2:13" ht="15.75">
      <c r="B252" s="136">
        <f>B251+1</f>
        <v>139</v>
      </c>
      <c r="C252" s="137"/>
      <c r="D252" s="132" t="str">
        <f>" Total (Sum lns "&amp;B249&amp;" to "&amp;B251&amp;")"</f>
        <v xml:space="preserve"> Total (Sum lns 136 to 138)</v>
      </c>
      <c r="G252" s="148">
        <f>SUM(G249:G251)</f>
        <v>3606452914.6368456</v>
      </c>
      <c r="H252" s="158">
        <f>SUM(H249:H251)</f>
        <v>1</v>
      </c>
      <c r="I252" s="135"/>
      <c r="J252" s="249"/>
      <c r="K252" s="195" t="s">
        <v>362</v>
      </c>
      <c r="L252" s="959">
        <f>SUM(L249:L251)</f>
        <v>7.5441633869736013E-2</v>
      </c>
      <c r="M252" s="135"/>
    </row>
    <row r="253" spans="2:13" ht="15.75">
      <c r="B253" s="136"/>
      <c r="C253" s="137"/>
      <c r="D253" s="132"/>
      <c r="G253" s="148"/>
      <c r="H253" s="158"/>
      <c r="I253" s="135"/>
      <c r="J253" s="249"/>
      <c r="K253" s="195"/>
      <c r="L253" s="959"/>
      <c r="M253" s="135"/>
    </row>
    <row r="254" spans="2:13">
      <c r="B254" s="136">
        <f>B252+1</f>
        <v>140</v>
      </c>
      <c r="C254" s="137"/>
      <c r="D254" s="132" t="s">
        <v>830</v>
      </c>
      <c r="E254" s="968">
        <v>0.55000000000000004</v>
      </c>
      <c r="F254" s="135"/>
      <c r="G254" s="135"/>
      <c r="H254" s="135"/>
      <c r="I254" s="149"/>
      <c r="J254" s="135"/>
      <c r="K254" s="135"/>
      <c r="L254" s="135"/>
      <c r="M254" s="135"/>
    </row>
    <row r="255" spans="2:13" ht="15.75" hidden="1">
      <c r="B255" s="250"/>
      <c r="C255" s="251"/>
      <c r="D255" s="252" t="s">
        <v>223</v>
      </c>
      <c r="E255" s="253"/>
      <c r="F255" s="254"/>
      <c r="G255" s="255"/>
      <c r="H255" s="254"/>
      <c r="I255" s="254"/>
      <c r="J255" s="254"/>
      <c r="K255" s="256"/>
      <c r="L255" s="257"/>
      <c r="M255" s="135"/>
    </row>
    <row r="256" spans="2:13" ht="15.75" hidden="1" thickBot="1">
      <c r="B256" s="250">
        <f>B252+1</f>
        <v>140</v>
      </c>
      <c r="C256" s="251"/>
      <c r="D256" s="258" t="s">
        <v>488</v>
      </c>
      <c r="E256" s="254"/>
      <c r="F256" s="254"/>
      <c r="G256" s="254"/>
      <c r="H256" s="254"/>
      <c r="I256" s="254"/>
      <c r="J256" s="254"/>
      <c r="K256" s="254"/>
      <c r="L256" s="259" t="s">
        <v>442</v>
      </c>
      <c r="M256" s="135"/>
    </row>
    <row r="257" spans="2:19" hidden="1">
      <c r="B257" s="250">
        <f t="shared" ref="B257:B264" si="14">+B256+1</f>
        <v>141</v>
      </c>
      <c r="C257" s="251"/>
      <c r="D257" s="254" t="s">
        <v>508</v>
      </c>
      <c r="E257" s="255" t="str">
        <f>"(Worksheet Q, ln. "&amp;'WS Q Cap Structure'!A199&amp;")"</f>
        <v>(Worksheet Q, ln. 132)</v>
      </c>
      <c r="F257" s="254"/>
      <c r="G257" s="254"/>
      <c r="H257" s="254"/>
      <c r="I257" s="254"/>
      <c r="J257" s="254"/>
      <c r="K257" s="254"/>
      <c r="L257" s="260">
        <f>'WS Q Cap Structure'!J199</f>
        <v>0</v>
      </c>
      <c r="M257" s="135"/>
    </row>
    <row r="258" spans="2:19" hidden="1">
      <c r="B258" s="250">
        <f t="shared" si="14"/>
        <v>142</v>
      </c>
      <c r="C258" s="251"/>
      <c r="D258" s="254" t="s">
        <v>509</v>
      </c>
      <c r="E258" s="255" t="str">
        <f>"(Worksheet Q, ln. "&amp;'WS Q Cap Structure'!A203&amp;")"</f>
        <v>(Worksheet Q, ln. 134)</v>
      </c>
      <c r="F258" s="254"/>
      <c r="G258" s="254"/>
      <c r="H258" s="254"/>
      <c r="I258" s="254"/>
      <c r="J258" s="254"/>
      <c r="K258" s="254"/>
      <c r="L258" s="260">
        <f>'WS Q Cap Structure'!J203</f>
        <v>0</v>
      </c>
      <c r="M258" s="135"/>
    </row>
    <row r="259" spans="2:19" hidden="1">
      <c r="B259" s="250">
        <f t="shared" si="14"/>
        <v>143</v>
      </c>
      <c r="C259" s="251"/>
      <c r="D259" s="261" t="s">
        <v>27</v>
      </c>
      <c r="E259" s="254"/>
      <c r="F259" s="254"/>
      <c r="G259" s="254"/>
      <c r="H259" s="262"/>
      <c r="I259" s="254"/>
      <c r="J259" s="254"/>
      <c r="K259" s="254"/>
      <c r="L259" s="260"/>
      <c r="M259" s="135"/>
    </row>
    <row r="260" spans="2:19" hidden="1">
      <c r="B260" s="250">
        <f t="shared" si="14"/>
        <v>144</v>
      </c>
      <c r="C260" s="251"/>
      <c r="D260" s="254" t="s">
        <v>28</v>
      </c>
      <c r="E260" s="255" t="str">
        <f>"(Worksheet Q, ln. "&amp;'WS Q Cap Structure'!A206&amp;")"</f>
        <v>(Worksheet Q, ln. 135)</v>
      </c>
      <c r="F260" s="254"/>
      <c r="G260" s="258"/>
      <c r="H260" s="263"/>
      <c r="I260" s="254"/>
      <c r="J260" s="254"/>
      <c r="K260" s="254"/>
      <c r="L260" s="264" t="e">
        <f>'WS Q Cap Structure'!J206</f>
        <v>#DIV/0!</v>
      </c>
      <c r="M260" s="135"/>
    </row>
    <row r="261" spans="2:19" hidden="1">
      <c r="B261" s="250">
        <f t="shared" si="14"/>
        <v>145</v>
      </c>
      <c r="C261" s="251"/>
      <c r="D261" s="254" t="s">
        <v>171</v>
      </c>
      <c r="E261" s="255" t="str">
        <f>"(Worksheet Q, ln. "&amp;'WS Q Cap Structure'!A207&amp;")"</f>
        <v>(Worksheet Q, ln. 136)</v>
      </c>
      <c r="F261" s="254"/>
      <c r="G261" s="254"/>
      <c r="H261" s="263"/>
      <c r="I261" s="254"/>
      <c r="J261" s="254"/>
      <c r="K261" s="254"/>
      <c r="L261" s="264">
        <f>'WS Q Cap Structure'!J207</f>
        <v>0</v>
      </c>
      <c r="M261" s="135"/>
    </row>
    <row r="262" spans="2:19" hidden="1">
      <c r="B262" s="250">
        <f>+B261+1</f>
        <v>146</v>
      </c>
      <c r="C262" s="251"/>
      <c r="D262" s="254" t="s">
        <v>164</v>
      </c>
      <c r="E262" s="255" t="str">
        <f>"(Worksheet Q, ln. "&amp;'WS Q Cap Structure'!A208&amp;")"</f>
        <v>(Worksheet Q, ln. 137)</v>
      </c>
      <c r="F262" s="254"/>
      <c r="G262" s="254"/>
      <c r="H262" s="263"/>
      <c r="I262" s="254"/>
      <c r="J262" s="254"/>
      <c r="K262" s="254"/>
      <c r="L262" s="264" t="e">
        <f>'WS Q Cap Structure'!J208</f>
        <v>#DIV/0!</v>
      </c>
      <c r="M262" s="135"/>
    </row>
    <row r="263" spans="2:19" ht="15.75" hidden="1" thickBot="1">
      <c r="B263" s="250">
        <f t="shared" si="14"/>
        <v>147</v>
      </c>
      <c r="C263" s="251"/>
      <c r="D263" s="254" t="s">
        <v>170</v>
      </c>
      <c r="E263" s="255" t="str">
        <f>"(Worksheet Q, ln. "&amp;'WS Q Cap Structure'!A209&amp;")"</f>
        <v>(Worksheet Q, ln. 138)</v>
      </c>
      <c r="F263" s="254"/>
      <c r="G263" s="254"/>
      <c r="H263" s="263"/>
      <c r="I263" s="254"/>
      <c r="J263" s="265"/>
      <c r="K263" s="254"/>
      <c r="L263" s="266" t="e">
        <f>'WS Q Cap Structure'!J209</f>
        <v>#DIV/0!</v>
      </c>
      <c r="M263" s="135"/>
    </row>
    <row r="264" spans="2:19" hidden="1">
      <c r="B264" s="250">
        <f t="shared" si="14"/>
        <v>148</v>
      </c>
      <c r="C264" s="251"/>
      <c r="D264" s="255" t="s">
        <v>29</v>
      </c>
      <c r="E264" s="254" t="str">
        <f>"(ln "&amp;B260&amp;" - ln "&amp;B261&amp;" - ln "&amp;B262&amp;" - ln "&amp;B263&amp;")"</f>
        <v>(ln 144 - ln 145 - ln 146 - ln 147)</v>
      </c>
      <c r="F264" s="253"/>
      <c r="G264" s="255"/>
      <c r="H264" s="258"/>
      <c r="I264" s="258"/>
      <c r="J264" s="258"/>
      <c r="K264" s="258"/>
      <c r="L264" s="260" t="e">
        <f>+L260-L261-L262-L263</f>
        <v>#DIV/0!</v>
      </c>
      <c r="M264" s="135"/>
    </row>
    <row r="265" spans="2:19" ht="15.75" hidden="1">
      <c r="B265" s="250"/>
      <c r="C265" s="251"/>
      <c r="D265" s="258"/>
      <c r="E265" s="254"/>
      <c r="F265" s="254"/>
      <c r="G265" s="1151"/>
      <c r="H265" s="1151"/>
      <c r="I265" s="267"/>
      <c r="J265" s="255"/>
      <c r="K265" s="254"/>
      <c r="L265" s="254"/>
      <c r="M265" s="135"/>
    </row>
    <row r="266" spans="2:19" ht="15.75" hidden="1" thickBot="1">
      <c r="B266" s="250">
        <f>+B264+1</f>
        <v>149</v>
      </c>
      <c r="C266" s="251"/>
      <c r="D266" s="258"/>
      <c r="E266" s="255"/>
      <c r="F266" s="255"/>
      <c r="G266" s="268" t="s">
        <v>444</v>
      </c>
      <c r="H266" s="268" t="s">
        <v>442</v>
      </c>
      <c r="I266" s="267"/>
      <c r="J266" s="269" t="s">
        <v>443</v>
      </c>
      <c r="K266" s="254"/>
      <c r="L266" s="268" t="s">
        <v>445</v>
      </c>
      <c r="M266" s="135"/>
      <c r="N266" s="132"/>
      <c r="O266" s="132"/>
      <c r="P266" s="132"/>
      <c r="Q266" s="132"/>
      <c r="R266" s="132"/>
      <c r="S266" s="132"/>
    </row>
    <row r="267" spans="2:19" hidden="1">
      <c r="B267" s="250">
        <f>+B266+1</f>
        <v>150</v>
      </c>
      <c r="C267" s="251"/>
      <c r="D267" s="258" t="str">
        <f>"  Long Term Debt   (Worksheet Q, ln "&amp;'WS Q Cap Structure'!A213&amp;")"</f>
        <v xml:space="preserve">  Long Term Debt   (Worksheet Q, ln 140)</v>
      </c>
      <c r="E267" s="255"/>
      <c r="F267" s="255"/>
      <c r="G267" s="270" t="e">
        <f>'WS Q Cap Structure'!J218</f>
        <v>#DIV/0!</v>
      </c>
      <c r="H267" s="260" t="e">
        <f>$H$270*G267</f>
        <v>#DIV/0!</v>
      </c>
      <c r="I267" s="271"/>
      <c r="J267" s="265" t="e">
        <f>+L257/H267</f>
        <v>#DIV/0!</v>
      </c>
      <c r="K267" s="255"/>
      <c r="L267" s="272" t="e">
        <f>+G267*J267</f>
        <v>#DIV/0!</v>
      </c>
      <c r="M267" s="273"/>
      <c r="N267" s="132"/>
      <c r="O267" s="132"/>
      <c r="P267" s="132"/>
      <c r="Q267" s="132"/>
      <c r="R267" s="132"/>
      <c r="S267" s="132"/>
    </row>
    <row r="268" spans="2:19" hidden="1">
      <c r="B268" s="250">
        <f>+B267+1</f>
        <v>151</v>
      </c>
      <c r="C268" s="251"/>
      <c r="D268" s="258" t="str">
        <f>"  Preferred Stock (Worksheet Q, ln "&amp;'WS Q Cap Structure'!A214&amp;")"</f>
        <v xml:space="preserve">  Preferred Stock (Worksheet Q, ln 141)</v>
      </c>
      <c r="E268" s="255"/>
      <c r="F268" s="255"/>
      <c r="G268" s="270" t="e">
        <f>'WS Q Cap Structure'!J219</f>
        <v>#DIV/0!</v>
      </c>
      <c r="H268" s="260" t="e">
        <f>$H$270*G268</f>
        <v>#DIV/0!</v>
      </c>
      <c r="I268" s="271"/>
      <c r="J268" s="265">
        <f>IF(L258=0,0,+L258/H268)</f>
        <v>0</v>
      </c>
      <c r="K268" s="255"/>
      <c r="L268" s="274" t="e">
        <f>+G268*J268</f>
        <v>#DIV/0!</v>
      </c>
      <c r="M268" s="135"/>
    </row>
    <row r="269" spans="2:19" ht="15.75" hidden="1" thickBot="1">
      <c r="B269" s="250">
        <f>+B268+1</f>
        <v>152</v>
      </c>
      <c r="C269" s="251"/>
      <c r="D269" s="258" t="str">
        <f>"  Common Stock (Worksheet Q, ln "&amp;'WS Q Cap Structure'!A215&amp;")"</f>
        <v xml:space="preserve">  Common Stock (Worksheet Q, ln 142)</v>
      </c>
      <c r="E269" s="255"/>
      <c r="F269" s="255"/>
      <c r="G269" s="270" t="e">
        <f>'WS Q Cap Structure'!J220</f>
        <v>#DIV/0!</v>
      </c>
      <c r="H269" s="275" t="e">
        <f>$H$270*G269</f>
        <v>#DIV/0!</v>
      </c>
      <c r="I269" s="271"/>
      <c r="J269" s="123">
        <v>0.1149</v>
      </c>
      <c r="K269" s="255"/>
      <c r="L269" s="276" t="e">
        <f>+G269*J269</f>
        <v>#DIV/0!</v>
      </c>
      <c r="M269" s="135"/>
    </row>
    <row r="270" spans="2:19" ht="15.75" hidden="1">
      <c r="B270" s="250">
        <f>+B269+1</f>
        <v>153</v>
      </c>
      <c r="C270" s="251"/>
      <c r="D270" s="258" t="str">
        <f>" Total (Worksheet Q, ln "&amp;'WS Q Cap Structure'!A216&amp;")"</f>
        <v xml:space="preserve"> Total (Worksheet Q, ln 143)</v>
      </c>
      <c r="E270" s="255"/>
      <c r="F270" s="255"/>
      <c r="G270" s="255"/>
      <c r="H270" s="260" t="e">
        <f>'WS Q Cap Structure'!J216</f>
        <v>#DIV/0!</v>
      </c>
      <c r="I270" s="267"/>
      <c r="J270" s="277"/>
      <c r="K270" s="278" t="s">
        <v>362</v>
      </c>
      <c r="L270" s="279" t="e">
        <f>SUM(L267:L269)</f>
        <v>#DIV/0!</v>
      </c>
      <c r="M270" s="280"/>
    </row>
    <row r="271" spans="2:19">
      <c r="B271" s="136"/>
      <c r="C271" s="41"/>
      <c r="D271" s="3"/>
      <c r="E271" s="41"/>
      <c r="F271"/>
      <c r="G271"/>
      <c r="H271"/>
      <c r="I271"/>
      <c r="J271" s="133"/>
      <c r="K271" s="133"/>
      <c r="L271" s="133"/>
      <c r="M271" s="133"/>
      <c r="N271" s="132"/>
      <c r="O271" s="132"/>
      <c r="P271" s="132"/>
      <c r="Q271" s="132"/>
      <c r="R271" s="132"/>
      <c r="S271" s="132"/>
    </row>
    <row r="272" spans="2:19">
      <c r="B272" s="136"/>
      <c r="C272" s="41"/>
      <c r="D272" s="41"/>
      <c r="E272"/>
      <c r="F272"/>
      <c r="G272"/>
      <c r="H272"/>
      <c r="I272"/>
      <c r="J272" s="135"/>
      <c r="K272" s="132"/>
      <c r="L272" s="135"/>
      <c r="M272" s="132"/>
      <c r="N272" s="132"/>
      <c r="O272" s="132"/>
      <c r="P272" s="132"/>
      <c r="Q272" s="132"/>
      <c r="R272" s="132"/>
      <c r="S272" s="132"/>
    </row>
    <row r="273" spans="2:19" ht="15.75">
      <c r="B273" s="200"/>
      <c r="C273" s="137"/>
      <c r="D273" s="128"/>
      <c r="E273" s="128"/>
      <c r="F273" s="202" t="str">
        <f>F202</f>
        <v>AEPTCo subsidiaries in PJM</v>
      </c>
      <c r="G273" s="129"/>
      <c r="H273" s="135"/>
      <c r="I273" s="135"/>
      <c r="J273" s="135"/>
      <c r="K273" s="132"/>
      <c r="L273" s="135"/>
      <c r="M273" s="166"/>
      <c r="N273" s="132"/>
      <c r="O273" s="132"/>
      <c r="P273" s="132"/>
      <c r="Q273" s="132"/>
      <c r="R273" s="132"/>
      <c r="S273" s="132"/>
    </row>
    <row r="274" spans="2:19">
      <c r="B274" s="200"/>
      <c r="C274" s="137"/>
      <c r="E274" s="137"/>
      <c r="F274" s="202" t="str">
        <f>F203</f>
        <v>Transmission Cost of Service Formula Rate</v>
      </c>
      <c r="G274" s="135"/>
      <c r="H274" s="135"/>
      <c r="I274" s="135"/>
      <c r="J274" s="135"/>
      <c r="K274" s="132"/>
      <c r="L274" s="145"/>
      <c r="M274" s="166"/>
      <c r="N274" s="132"/>
      <c r="O274" s="132"/>
      <c r="P274" s="132"/>
      <c r="Q274" s="132"/>
      <c r="R274" s="132"/>
      <c r="S274" s="132"/>
    </row>
    <row r="275" spans="2:19" ht="15.75">
      <c r="B275" s="200"/>
      <c r="C275" s="137"/>
      <c r="E275" s="203"/>
      <c r="F275" s="202" t="str">
        <f>F204</f>
        <v>Utilizing  Actual/Projected FERC Form 1 Data</v>
      </c>
      <c r="G275" s="135"/>
      <c r="H275" s="135"/>
      <c r="I275" s="135"/>
      <c r="J275" s="135"/>
      <c r="K275" s="132"/>
      <c r="L275" s="145"/>
      <c r="M275" s="166"/>
      <c r="N275" s="132"/>
      <c r="O275" s="132"/>
      <c r="P275" s="132"/>
      <c r="Q275" s="132"/>
      <c r="R275" s="132"/>
      <c r="S275" s="132"/>
    </row>
    <row r="276" spans="2:19" ht="15.75">
      <c r="B276" s="136"/>
      <c r="C276" s="137"/>
      <c r="E276" s="203"/>
      <c r="F276" s="202"/>
      <c r="G276" s="135"/>
      <c r="H276" s="135"/>
      <c r="I276" s="135"/>
      <c r="J276" s="135"/>
      <c r="K276" s="132"/>
      <c r="L276" s="145"/>
      <c r="N276" s="132"/>
      <c r="O276" s="132"/>
      <c r="P276" s="132"/>
      <c r="Q276" s="132"/>
      <c r="R276" s="132"/>
      <c r="S276" s="132"/>
    </row>
    <row r="277" spans="2:19" ht="15.75">
      <c r="B277" s="136"/>
      <c r="C277" s="137"/>
      <c r="E277" s="203"/>
      <c r="F277" s="202" t="str">
        <f>F206</f>
        <v>AEP Indiana Michigan Transmission Company</v>
      </c>
      <c r="G277" s="135"/>
      <c r="H277" s="135"/>
      <c r="I277" s="135"/>
      <c r="J277" s="135"/>
      <c r="K277" s="132"/>
      <c r="L277" s="145"/>
      <c r="N277" s="132"/>
      <c r="O277" s="132"/>
      <c r="P277" s="132"/>
      <c r="Q277" s="132"/>
      <c r="R277" s="132"/>
      <c r="S277" s="132"/>
    </row>
    <row r="278" spans="2:19" ht="15.75">
      <c r="B278" s="136"/>
      <c r="C278" s="137"/>
      <c r="E278" s="203"/>
      <c r="F278" s="202"/>
      <c r="G278" s="135"/>
      <c r="H278" s="135"/>
      <c r="I278" s="135"/>
      <c r="J278" s="135"/>
      <c r="K278" s="132"/>
      <c r="L278" s="145"/>
      <c r="N278" s="132"/>
      <c r="O278" s="132"/>
      <c r="P278" s="132"/>
      <c r="Q278" s="132"/>
      <c r="R278" s="132"/>
      <c r="S278" s="132"/>
    </row>
    <row r="279" spans="2:19" ht="15.75">
      <c r="B279" s="174" t="s">
        <v>474</v>
      </c>
      <c r="C279" s="137"/>
      <c r="D279" s="132"/>
      <c r="E279" s="132"/>
      <c r="F279" s="174" t="s">
        <v>473</v>
      </c>
      <c r="G279" s="135"/>
      <c r="H279" s="135"/>
      <c r="I279" s="135"/>
      <c r="J279" s="135" t="s">
        <v>623</v>
      </c>
      <c r="K279" s="132"/>
      <c r="L279" s="135"/>
      <c r="N279" s="132"/>
      <c r="O279" s="132"/>
      <c r="P279" s="132"/>
      <c r="Q279" s="132"/>
      <c r="R279" s="132"/>
      <c r="S279" s="132"/>
    </row>
    <row r="280" spans="2:19">
      <c r="C280" s="137"/>
      <c r="L280" s="145"/>
      <c r="N280" s="132"/>
      <c r="O280" s="132"/>
      <c r="P280" s="132"/>
      <c r="Q280" s="132"/>
      <c r="R280" s="132"/>
      <c r="S280" s="132"/>
    </row>
    <row r="281" spans="2:19">
      <c r="B281" s="136"/>
      <c r="C281" s="137"/>
      <c r="D281" s="132" t="s">
        <v>332</v>
      </c>
      <c r="E281" s="137"/>
      <c r="F281" s="137"/>
      <c r="G281" s="135"/>
      <c r="H281" s="135"/>
      <c r="I281" s="135"/>
      <c r="J281" s="135"/>
      <c r="K281" s="132"/>
      <c r="L281" s="135"/>
      <c r="M281" s="132"/>
      <c r="N281" s="132"/>
      <c r="O281" s="132"/>
      <c r="P281" s="132"/>
      <c r="Q281" s="132"/>
      <c r="R281" s="132"/>
      <c r="S281" s="132"/>
    </row>
    <row r="282" spans="2:19">
      <c r="B282" s="127"/>
      <c r="D282" s="132"/>
      <c r="E282" s="132"/>
      <c r="F282" s="132"/>
      <c r="G282" s="135"/>
      <c r="H282" s="135"/>
      <c r="I282" s="135"/>
      <c r="J282" s="135"/>
      <c r="K282" s="132"/>
      <c r="L282" s="135"/>
      <c r="M282" s="132"/>
      <c r="N282" s="132"/>
      <c r="O282" s="132"/>
      <c r="P282" s="132"/>
      <c r="Q282" s="132"/>
      <c r="R282" s="132"/>
      <c r="S282" s="132"/>
    </row>
    <row r="283" spans="2:19">
      <c r="B283" s="127"/>
      <c r="D283" s="132"/>
      <c r="E283" s="132"/>
      <c r="F283" s="132"/>
      <c r="G283" s="135"/>
      <c r="H283" s="135"/>
      <c r="I283" s="135"/>
      <c r="J283" s="135"/>
      <c r="K283" s="132"/>
      <c r="L283" s="135"/>
      <c r="M283" s="132"/>
      <c r="N283" s="132"/>
      <c r="O283" s="132"/>
      <c r="P283" s="132"/>
      <c r="Q283" s="132"/>
      <c r="R283" s="132"/>
      <c r="S283" s="132"/>
    </row>
    <row r="284" spans="2:19">
      <c r="B284" s="281" t="s">
        <v>446</v>
      </c>
      <c r="C284" s="137"/>
      <c r="D284" s="132" t="s">
        <v>274</v>
      </c>
      <c r="E284" s="132"/>
      <c r="F284" s="132"/>
      <c r="G284" s="135"/>
      <c r="H284" s="135"/>
      <c r="I284" s="135"/>
      <c r="J284" s="135"/>
      <c r="K284" s="132"/>
      <c r="L284" s="135"/>
      <c r="M284" s="132"/>
      <c r="N284" s="132"/>
      <c r="O284" s="132"/>
      <c r="P284" s="132"/>
      <c r="Q284" s="132"/>
      <c r="R284" s="132"/>
      <c r="S284" s="132"/>
    </row>
    <row r="285" spans="2:19">
      <c r="B285" s="281"/>
      <c r="C285" s="202"/>
      <c r="D285" s="132" t="s">
        <v>172</v>
      </c>
      <c r="E285" s="132"/>
      <c r="F285" s="132"/>
      <c r="G285" s="132"/>
      <c r="H285" s="132"/>
      <c r="I285" s="132"/>
      <c r="J285" s="132"/>
      <c r="K285" s="132"/>
      <c r="L285" s="132"/>
      <c r="M285" s="132"/>
      <c r="N285" s="132"/>
      <c r="O285" s="132"/>
      <c r="P285" s="132"/>
      <c r="Q285" s="132"/>
      <c r="R285" s="132"/>
      <c r="S285" s="132"/>
    </row>
    <row r="286" spans="2:19">
      <c r="D286" s="127" t="s">
        <v>173</v>
      </c>
      <c r="E286" s="157"/>
      <c r="F286" s="157"/>
      <c r="G286" s="132"/>
      <c r="H286" s="132"/>
      <c r="I286" s="132"/>
      <c r="J286" s="132"/>
      <c r="K286" s="132"/>
      <c r="L286" s="132"/>
      <c r="M286" s="132"/>
      <c r="N286" s="132"/>
      <c r="O286" s="132"/>
      <c r="P286" s="132"/>
      <c r="Q286" s="132"/>
      <c r="R286" s="132"/>
      <c r="S286" s="132"/>
    </row>
    <row r="287" spans="2:19">
      <c r="D287" s="132" t="s">
        <v>275</v>
      </c>
      <c r="E287" s="132"/>
      <c r="F287" s="132"/>
      <c r="G287" s="132"/>
      <c r="H287" s="132"/>
      <c r="I287" s="132"/>
      <c r="J287" s="132"/>
      <c r="K287" s="132"/>
      <c r="L287" s="132"/>
      <c r="M287" s="132"/>
      <c r="N287" s="132"/>
      <c r="O287" s="132"/>
      <c r="P287" s="132"/>
      <c r="Q287" s="132"/>
      <c r="R287" s="132"/>
      <c r="S287" s="132"/>
    </row>
    <row r="288" spans="2:19">
      <c r="B288" s="136"/>
      <c r="C288" s="137"/>
      <c r="D288" s="132" t="s">
        <v>276</v>
      </c>
      <c r="E288" s="132"/>
      <c r="F288" s="132"/>
      <c r="G288" s="132"/>
      <c r="H288" s="132"/>
      <c r="I288" s="132"/>
      <c r="J288" s="132"/>
      <c r="K288" s="132"/>
      <c r="L288" s="132"/>
      <c r="M288" s="132"/>
      <c r="N288" s="132"/>
      <c r="O288" s="132"/>
      <c r="P288" s="132"/>
      <c r="Q288" s="132"/>
      <c r="R288" s="132"/>
      <c r="S288" s="132"/>
    </row>
    <row r="289" spans="2:19">
      <c r="B289" s="136"/>
      <c r="C289" s="137"/>
      <c r="D289" s="132" t="s">
        <v>174</v>
      </c>
      <c r="E289" s="132"/>
      <c r="F289" s="132"/>
      <c r="G289" s="132"/>
      <c r="H289" s="132"/>
      <c r="I289" s="132"/>
      <c r="J289" s="132"/>
      <c r="K289" s="132"/>
      <c r="L289" s="132"/>
      <c r="M289" s="132"/>
      <c r="N289" s="132"/>
      <c r="O289" s="132"/>
      <c r="P289" s="132"/>
      <c r="Q289" s="132"/>
      <c r="R289" s="132"/>
      <c r="S289" s="132"/>
    </row>
    <row r="290" spans="2:19">
      <c r="B290" s="136"/>
      <c r="C290" s="137"/>
      <c r="D290" s="132" t="s">
        <v>175</v>
      </c>
      <c r="E290" s="132"/>
      <c r="F290" s="132"/>
      <c r="G290" s="132"/>
      <c r="H290" s="132"/>
      <c r="I290" s="132"/>
      <c r="J290" s="132"/>
      <c r="K290" s="132"/>
      <c r="L290" s="132"/>
      <c r="M290" s="132"/>
      <c r="N290" s="132"/>
      <c r="O290" s="132"/>
      <c r="P290" s="132"/>
      <c r="Q290" s="132"/>
      <c r="R290" s="132"/>
      <c r="S290" s="132"/>
    </row>
    <row r="291" spans="2:19">
      <c r="B291" s="136"/>
      <c r="C291" s="137"/>
      <c r="D291" s="132" t="s">
        <v>611</v>
      </c>
      <c r="E291" s="132"/>
      <c r="F291" s="132"/>
      <c r="G291" s="132"/>
      <c r="H291" s="132"/>
      <c r="I291" s="132"/>
      <c r="J291" s="132"/>
      <c r="K291" s="132"/>
      <c r="L291" s="132"/>
      <c r="M291" s="132"/>
      <c r="N291" s="132"/>
      <c r="O291" s="132"/>
      <c r="P291" s="132"/>
      <c r="Q291" s="132"/>
      <c r="R291" s="132"/>
      <c r="S291" s="132"/>
    </row>
    <row r="292" spans="2:19">
      <c r="B292" s="136"/>
      <c r="C292" s="137"/>
      <c r="D292" s="132" t="s">
        <v>598</v>
      </c>
      <c r="E292" s="132"/>
      <c r="F292" s="132"/>
      <c r="G292" s="132"/>
      <c r="H292" s="132"/>
      <c r="I292" s="132"/>
      <c r="J292" s="132"/>
      <c r="K292" s="132"/>
      <c r="L292" s="132"/>
      <c r="M292" s="132"/>
      <c r="N292" s="132"/>
      <c r="O292" s="132"/>
      <c r="P292" s="132"/>
      <c r="Q292" s="132"/>
      <c r="R292" s="132"/>
      <c r="S292" s="132"/>
    </row>
    <row r="293" spans="2:19">
      <c r="B293" s="136"/>
      <c r="C293" s="137"/>
      <c r="D293" s="132" t="s">
        <v>612</v>
      </c>
      <c r="E293" s="132"/>
      <c r="F293" s="132"/>
      <c r="G293" s="132"/>
      <c r="H293" s="132"/>
      <c r="I293" s="132"/>
      <c r="J293" s="132"/>
      <c r="K293" s="132"/>
      <c r="L293" s="132"/>
      <c r="M293" s="132"/>
      <c r="N293" s="132"/>
      <c r="O293" s="132"/>
      <c r="P293" s="132"/>
      <c r="Q293" s="132"/>
      <c r="R293" s="132"/>
      <c r="S293" s="132"/>
    </row>
    <row r="294" spans="2:19">
      <c r="B294" s="136"/>
      <c r="C294" s="137"/>
      <c r="D294" s="132" t="s">
        <v>599</v>
      </c>
      <c r="E294" s="132"/>
      <c r="F294" s="132"/>
      <c r="G294" s="132"/>
      <c r="H294" s="132"/>
      <c r="I294" s="132"/>
      <c r="J294" s="132"/>
      <c r="K294" s="132"/>
      <c r="L294" s="132"/>
      <c r="M294" s="132"/>
      <c r="N294" s="132"/>
      <c r="O294" s="132"/>
      <c r="P294" s="132"/>
      <c r="Q294" s="132"/>
      <c r="R294" s="132"/>
      <c r="S294" s="132"/>
    </row>
    <row r="295" spans="2:19">
      <c r="B295" s="136"/>
      <c r="C295" s="137"/>
      <c r="D295" s="132" t="s">
        <v>281</v>
      </c>
      <c r="E295" s="132"/>
      <c r="F295" s="132"/>
      <c r="G295" s="132"/>
      <c r="H295" s="132"/>
      <c r="I295" s="132"/>
      <c r="J295" s="132"/>
      <c r="K295" s="132"/>
      <c r="L295" s="132"/>
      <c r="M295" s="132"/>
      <c r="N295" s="132"/>
      <c r="O295" s="132"/>
      <c r="P295" s="132"/>
      <c r="Q295" s="132"/>
      <c r="R295" s="132"/>
      <c r="S295" s="132"/>
    </row>
    <row r="296" spans="2:19">
      <c r="B296" s="136"/>
      <c r="C296" s="137"/>
      <c r="D296" s="133"/>
      <c r="E296" s="132"/>
      <c r="F296" s="132"/>
      <c r="G296" s="132"/>
      <c r="H296" s="132"/>
      <c r="I296" s="132"/>
      <c r="J296" s="132"/>
      <c r="K296" s="132"/>
      <c r="L296" s="132"/>
      <c r="M296" s="132"/>
      <c r="N296" s="132"/>
      <c r="O296" s="132"/>
      <c r="P296" s="132"/>
      <c r="Q296" s="132"/>
      <c r="R296" s="132"/>
      <c r="S296" s="132"/>
    </row>
    <row r="297" spans="2:19" ht="15" customHeight="1">
      <c r="B297" s="136" t="s">
        <v>447</v>
      </c>
      <c r="C297" s="137"/>
      <c r="D297" s="1153" t="s">
        <v>613</v>
      </c>
      <c r="E297" s="1147"/>
      <c r="F297" s="1147"/>
      <c r="G297" s="1147"/>
      <c r="H297" s="1147"/>
      <c r="I297" s="1147"/>
      <c r="J297" s="1147"/>
      <c r="K297" s="1147"/>
      <c r="L297" s="132"/>
      <c r="M297" s="132"/>
      <c r="N297" s="132"/>
      <c r="O297" s="132"/>
      <c r="P297" s="132"/>
      <c r="Q297" s="132"/>
      <c r="R297" s="132"/>
      <c r="S297" s="132"/>
    </row>
    <row r="298" spans="2:19">
      <c r="B298" s="136"/>
      <c r="C298" s="137"/>
      <c r="D298" s="1147"/>
      <c r="E298" s="1147"/>
      <c r="F298" s="1147"/>
      <c r="G298" s="1147"/>
      <c r="H298" s="1147"/>
      <c r="I298" s="1147"/>
      <c r="J298" s="1147"/>
      <c r="K298" s="1147"/>
      <c r="L298" s="132"/>
      <c r="M298" s="132"/>
      <c r="N298" s="132"/>
      <c r="O298" s="132"/>
      <c r="P298" s="132"/>
      <c r="Q298" s="132"/>
      <c r="R298" s="132"/>
      <c r="S298" s="132"/>
    </row>
    <row r="299" spans="2:19">
      <c r="E299" s="132"/>
      <c r="F299" s="132"/>
      <c r="G299" s="132"/>
      <c r="H299" s="132"/>
      <c r="I299" s="132"/>
      <c r="J299" s="132"/>
      <c r="K299" s="132"/>
      <c r="L299" s="132"/>
      <c r="M299" s="132"/>
      <c r="N299" s="132"/>
      <c r="O299" s="132"/>
      <c r="P299" s="132"/>
      <c r="Q299" s="132"/>
      <c r="R299" s="132"/>
      <c r="S299" s="132"/>
    </row>
    <row r="300" spans="2:19">
      <c r="B300" s="136" t="s">
        <v>448</v>
      </c>
      <c r="C300" s="137"/>
      <c r="D300" s="133" t="s">
        <v>800</v>
      </c>
      <c r="E300" s="132"/>
      <c r="F300" s="132"/>
      <c r="G300" s="132"/>
      <c r="H300" s="132"/>
      <c r="I300" s="132"/>
      <c r="J300" s="132"/>
      <c r="K300" s="132"/>
      <c r="L300" s="132"/>
      <c r="M300" s="132"/>
      <c r="N300" s="132"/>
      <c r="O300" s="132"/>
      <c r="P300" s="132"/>
      <c r="Q300" s="132"/>
      <c r="R300" s="132"/>
      <c r="S300" s="132"/>
    </row>
    <row r="301" spans="2:19">
      <c r="B301" s="136"/>
      <c r="C301" s="137"/>
      <c r="D301" s="133"/>
      <c r="E301" s="132"/>
      <c r="F301" s="132"/>
      <c r="G301" s="132"/>
      <c r="H301" s="132"/>
      <c r="I301" s="132"/>
      <c r="J301" s="132"/>
      <c r="K301" s="132"/>
      <c r="L301" s="132"/>
      <c r="M301" s="132"/>
      <c r="N301" s="132"/>
      <c r="O301" s="132"/>
      <c r="P301" s="132"/>
      <c r="Q301" s="132"/>
      <c r="R301" s="132"/>
      <c r="S301" s="132"/>
    </row>
    <row r="302" spans="2:19">
      <c r="B302" s="136" t="s">
        <v>449</v>
      </c>
      <c r="C302" s="137"/>
      <c r="D302" s="132" t="s">
        <v>30</v>
      </c>
      <c r="E302" s="132"/>
      <c r="F302" s="132"/>
      <c r="G302" s="132"/>
      <c r="H302" s="132"/>
      <c r="I302" s="132"/>
      <c r="J302" s="132"/>
      <c r="K302" s="132"/>
      <c r="L302" s="132"/>
      <c r="M302" s="132"/>
      <c r="N302" s="132"/>
      <c r="O302" s="132"/>
      <c r="P302" s="132"/>
      <c r="Q302" s="132"/>
      <c r="R302" s="132"/>
      <c r="S302" s="132"/>
    </row>
    <row r="303" spans="2:19">
      <c r="B303" s="136"/>
      <c r="C303" s="137"/>
      <c r="D303" s="132" t="s">
        <v>287</v>
      </c>
      <c r="E303" s="132"/>
      <c r="F303" s="132"/>
      <c r="G303" s="132"/>
      <c r="H303" s="132"/>
      <c r="I303" s="132"/>
      <c r="J303" s="132"/>
      <c r="K303" s="132"/>
      <c r="L303" s="132"/>
      <c r="M303" s="132"/>
      <c r="N303" s="132"/>
      <c r="O303" s="132"/>
      <c r="P303" s="132"/>
      <c r="Q303" s="132"/>
      <c r="R303" s="132"/>
      <c r="S303" s="132"/>
    </row>
    <row r="304" spans="2:19">
      <c r="B304" s="136"/>
      <c r="C304" s="137"/>
      <c r="D304" s="132" t="s">
        <v>293</v>
      </c>
      <c r="E304" s="132"/>
      <c r="F304" s="132"/>
      <c r="G304" s="132"/>
      <c r="H304" s="132"/>
      <c r="I304" s="132"/>
      <c r="J304" s="132"/>
      <c r="K304" s="132"/>
      <c r="L304" s="132"/>
      <c r="M304" s="132"/>
      <c r="N304" s="132"/>
      <c r="O304" s="132"/>
      <c r="P304" s="132"/>
      <c r="Q304" s="132"/>
      <c r="R304" s="132"/>
      <c r="S304" s="132"/>
    </row>
    <row r="305" spans="2:19">
      <c r="B305" s="136"/>
      <c r="C305" s="137"/>
      <c r="D305" s="132" t="s">
        <v>162</v>
      </c>
      <c r="E305" s="132"/>
      <c r="F305" s="132"/>
      <c r="G305" s="132"/>
      <c r="H305" s="132"/>
      <c r="I305" s="132"/>
      <c r="J305" s="132"/>
      <c r="K305" s="132"/>
      <c r="L305" s="132"/>
      <c r="M305" s="132"/>
      <c r="N305" s="132"/>
      <c r="O305" s="132"/>
      <c r="P305" s="132"/>
      <c r="Q305" s="132"/>
      <c r="R305" s="132"/>
      <c r="S305" s="132"/>
    </row>
    <row r="306" spans="2:19">
      <c r="B306" s="136"/>
      <c r="C306" s="137"/>
      <c r="D306" s="132" t="s">
        <v>600</v>
      </c>
      <c r="E306" s="132"/>
      <c r="F306" s="132"/>
      <c r="G306" s="132"/>
      <c r="H306" s="132"/>
      <c r="I306" s="132"/>
      <c r="J306" s="132"/>
      <c r="K306" s="132"/>
      <c r="L306" s="132"/>
      <c r="M306" s="132"/>
      <c r="N306" s="132"/>
      <c r="O306" s="132"/>
      <c r="P306" s="132"/>
      <c r="Q306" s="132"/>
      <c r="R306" s="132"/>
      <c r="S306" s="132"/>
    </row>
    <row r="307" spans="2:19">
      <c r="B307" s="136"/>
      <c r="C307" s="137"/>
      <c r="D307" s="132" t="s">
        <v>601</v>
      </c>
      <c r="E307" s="132"/>
      <c r="F307" s="132"/>
      <c r="G307" s="132"/>
      <c r="H307" s="132"/>
      <c r="I307" s="132"/>
      <c r="J307" s="132"/>
      <c r="K307" s="132"/>
      <c r="L307" s="132"/>
      <c r="M307" s="132"/>
      <c r="N307" s="132"/>
      <c r="O307" s="132"/>
      <c r="P307" s="132"/>
      <c r="Q307" s="132"/>
      <c r="R307" s="132"/>
      <c r="S307" s="132"/>
    </row>
    <row r="308" spans="2:19">
      <c r="B308" s="136"/>
      <c r="C308" s="137"/>
      <c r="D308" s="132" t="s">
        <v>602</v>
      </c>
      <c r="E308" s="132"/>
      <c r="F308" s="132"/>
      <c r="G308" s="132"/>
      <c r="H308" s="132"/>
      <c r="I308" s="132"/>
      <c r="J308" s="132"/>
      <c r="K308" s="132"/>
      <c r="L308" s="132"/>
      <c r="M308" s="132"/>
      <c r="N308" s="132"/>
      <c r="O308" s="132"/>
      <c r="P308" s="132"/>
      <c r="Q308" s="132"/>
      <c r="R308" s="132"/>
      <c r="S308" s="132"/>
    </row>
    <row r="309" spans="2:19">
      <c r="B309" s="136"/>
      <c r="C309" s="137"/>
      <c r="D309" s="132" t="s">
        <v>108</v>
      </c>
      <c r="E309" s="132"/>
      <c r="F309" s="132"/>
      <c r="G309" s="132"/>
      <c r="H309" s="132"/>
      <c r="I309" s="132"/>
      <c r="J309" s="132"/>
      <c r="K309" s="132"/>
      <c r="L309" s="132"/>
      <c r="M309" s="132"/>
      <c r="N309" s="132"/>
      <c r="O309" s="132"/>
      <c r="P309" s="132"/>
      <c r="Q309" s="132"/>
      <c r="R309" s="132"/>
      <c r="S309" s="132"/>
    </row>
    <row r="310" spans="2:19">
      <c r="B310" s="136"/>
      <c r="C310" s="137"/>
      <c r="D310" s="132"/>
      <c r="E310" s="132"/>
      <c r="F310" s="132"/>
      <c r="G310" s="132"/>
      <c r="H310" s="132"/>
      <c r="I310" s="132"/>
      <c r="J310" s="132"/>
      <c r="K310" s="132"/>
      <c r="L310" s="132"/>
      <c r="M310" s="132"/>
      <c r="N310" s="132"/>
      <c r="O310" s="132"/>
      <c r="P310" s="132"/>
      <c r="Q310" s="132"/>
      <c r="R310" s="132"/>
      <c r="S310" s="132"/>
    </row>
    <row r="311" spans="2:19">
      <c r="B311" s="136" t="s">
        <v>450</v>
      </c>
      <c r="C311" s="132"/>
      <c r="D311" s="132" t="str">
        <f>"Cash Working Capital assigned to transmission is one-eighth of O&amp;M allocated to transmission, as shown on line "&amp;B140&amp;". It excludes:"</f>
        <v>Cash Working Capital assigned to transmission is one-eighth of O&amp;M allocated to transmission, as shown on line 66. It excludes:</v>
      </c>
      <c r="E311" s="3"/>
      <c r="F311" s="3"/>
      <c r="G311" s="3"/>
      <c r="H311" s="3"/>
      <c r="I311" s="3"/>
      <c r="J311" s="3"/>
      <c r="K311" s="3"/>
      <c r="L311" s="282"/>
      <c r="M311" s="132"/>
      <c r="N311" s="132"/>
      <c r="O311" s="132"/>
      <c r="P311" s="132"/>
      <c r="Q311" s="132"/>
      <c r="R311" s="132"/>
      <c r="S311" s="132"/>
    </row>
    <row r="312" spans="2:19">
      <c r="B312" s="136"/>
      <c r="C312" s="132"/>
      <c r="D312" s="283" t="str">
        <f>+"1)  Load Scheduling &amp; Dispatch Charges in account 561 that are collected in the OATT Ancilliary Services Revenue, as shown on line "&amp;B137&amp;"."</f>
        <v>1)  Load Scheduling &amp; Dispatch Charges in account 561 that are collected in the OATT Ancilliary Services Revenue, as shown on line 63.</v>
      </c>
      <c r="E312" s="41"/>
      <c r="F312" s="41"/>
      <c r="G312" s="41"/>
      <c r="H312" s="41"/>
      <c r="I312" s="41"/>
      <c r="J312" s="41"/>
      <c r="K312" s="41"/>
      <c r="L312" s="282"/>
      <c r="M312" s="132"/>
      <c r="N312" s="132"/>
      <c r="O312" s="132"/>
      <c r="P312" s="132"/>
      <c r="Q312" s="132"/>
      <c r="R312" s="132"/>
      <c r="S312" s="132"/>
    </row>
    <row r="313" spans="2:19">
      <c r="B313" s="136"/>
      <c r="C313" s="132"/>
      <c r="D313" s="284" t="str">
        <f>+"2)  Costs of Transmission of Electricity by Others, as described in Note H."</f>
        <v>2)  Costs of Transmission of Electricity by Others, as described in Note H.</v>
      </c>
      <c r="E313" s="3"/>
      <c r="F313" s="3"/>
      <c r="G313" s="3"/>
      <c r="H313" s="3"/>
      <c r="I313" s="3"/>
      <c r="J313" s="3"/>
      <c r="K313" s="3"/>
      <c r="L313" s="282"/>
      <c r="M313" s="132"/>
      <c r="N313" s="132"/>
      <c r="O313" s="132"/>
      <c r="P313" s="132"/>
      <c r="Q313" s="132"/>
      <c r="R313" s="132"/>
      <c r="S313" s="132"/>
    </row>
    <row r="314" spans="2:19">
      <c r="B314" s="136"/>
      <c r="C314" s="132"/>
      <c r="D314" s="283" t="str">
        <f>+"3)  The impact of state regulatory deferrals and amortizations, as shown on line  "&amp;B139&amp;""</f>
        <v>3)  The impact of state regulatory deferrals and amortizations, as shown on line  65</v>
      </c>
      <c r="E314" s="41"/>
      <c r="F314" s="41"/>
      <c r="G314" s="41"/>
      <c r="H314" s="41"/>
      <c r="I314" s="41"/>
      <c r="J314" s="41"/>
      <c r="K314" s="41"/>
      <c r="L314" s="282"/>
      <c r="M314" s="132"/>
      <c r="N314" s="132"/>
      <c r="O314" s="132"/>
      <c r="P314" s="132"/>
      <c r="Q314" s="132"/>
      <c r="R314" s="132"/>
      <c r="S314" s="132"/>
    </row>
    <row r="315" spans="2:19">
      <c r="B315" s="136"/>
      <c r="C315" s="41"/>
      <c r="D315" s="284" t="str">
        <f>"4) All A&amp;G Expenses, as shown on line "&amp;B154&amp;"."</f>
        <v>4) All A&amp;G Expenses, as shown on line 78.</v>
      </c>
      <c r="E315" s="3"/>
      <c r="F315" s="3"/>
      <c r="G315" s="3"/>
      <c r="H315" s="3"/>
      <c r="I315" s="3"/>
      <c r="J315" s="3"/>
      <c r="K315" s="3"/>
      <c r="L315" s="282"/>
      <c r="M315" s="132"/>
      <c r="N315" s="132"/>
      <c r="O315" s="132"/>
      <c r="P315" s="132"/>
      <c r="Q315" s="132"/>
      <c r="R315" s="132"/>
      <c r="S315" s="132"/>
    </row>
    <row r="316" spans="2:19">
      <c r="B316" s="136"/>
      <c r="C316" s="137"/>
      <c r="D316" s="283"/>
      <c r="E316" s="283"/>
      <c r="F316" s="283"/>
      <c r="G316" s="283"/>
      <c r="H316" s="283"/>
      <c r="I316" s="283"/>
      <c r="J316" s="283"/>
      <c r="K316" s="283"/>
      <c r="L316" s="132"/>
      <c r="M316" s="132"/>
      <c r="N316" s="132"/>
      <c r="O316" s="132"/>
      <c r="P316" s="132"/>
      <c r="Q316" s="132"/>
      <c r="R316" s="132"/>
      <c r="S316" s="132"/>
    </row>
    <row r="317" spans="2:19">
      <c r="B317" s="281" t="s">
        <v>451</v>
      </c>
      <c r="C317" s="202"/>
      <c r="D317" s="285" t="str">
        <f>"Consistent with Paragraph 657 of Order 2003-A, the amount on line "&amp;B116&amp;" is equal to the balance of IPP System Upgrade Credits owed to transmission customers that"</f>
        <v>Consistent with Paragraph 657 of Order 2003-A, the amount on line 57 is equal to the balance of IPP System Upgrade Credits owed to transmission customers that</v>
      </c>
      <c r="E317" s="285"/>
      <c r="F317" s="285"/>
      <c r="G317" s="285"/>
      <c r="H317" s="285"/>
      <c r="I317" s="285"/>
      <c r="J317" s="285"/>
      <c r="K317" s="285"/>
      <c r="M317" s="132"/>
      <c r="N317" s="132"/>
      <c r="O317" s="132"/>
      <c r="P317" s="132"/>
      <c r="Q317" s="132"/>
      <c r="R317" s="132"/>
      <c r="S317" s="132"/>
    </row>
    <row r="318" spans="2:19">
      <c r="D318" s="285" t="s">
        <v>507</v>
      </c>
      <c r="E318" s="285"/>
      <c r="F318" s="285"/>
      <c r="G318" s="285"/>
      <c r="H318" s="285"/>
      <c r="I318" s="285"/>
      <c r="J318" s="285"/>
      <c r="K318" s="285"/>
      <c r="M318" s="132"/>
      <c r="N318" s="132"/>
      <c r="O318" s="132"/>
      <c r="P318" s="132"/>
      <c r="Q318" s="132"/>
      <c r="R318" s="132"/>
      <c r="S318" s="132"/>
    </row>
    <row r="319" spans="2:19">
      <c r="D319" s="285" t="str">
        <f>"expense is included on line "&amp;B193&amp;"."</f>
        <v>expense is included on line 110.</v>
      </c>
      <c r="E319" s="285"/>
      <c r="F319" s="285"/>
      <c r="G319" s="285"/>
      <c r="H319" s="285"/>
      <c r="I319" s="285"/>
      <c r="J319" s="285"/>
      <c r="K319" s="285"/>
      <c r="M319" s="132"/>
      <c r="N319" s="132"/>
      <c r="O319" s="132"/>
      <c r="P319" s="132"/>
      <c r="Q319" s="132"/>
      <c r="R319" s="132"/>
      <c r="S319" s="132"/>
    </row>
    <row r="320" spans="2:19" ht="21" customHeight="1">
      <c r="D320" s="285"/>
      <c r="E320" s="285"/>
      <c r="F320" s="285"/>
      <c r="G320" s="285"/>
      <c r="H320" s="285"/>
      <c r="I320" s="285"/>
      <c r="J320" s="285"/>
      <c r="K320" s="285"/>
      <c r="N320" s="132"/>
      <c r="O320" s="132"/>
      <c r="P320" s="132"/>
      <c r="Q320" s="132"/>
      <c r="R320" s="132"/>
      <c r="S320" s="132"/>
    </row>
    <row r="321" spans="2:19" ht="14.25" customHeight="1">
      <c r="B321" s="281" t="s">
        <v>452</v>
      </c>
      <c r="D321" s="1139" t="str">
        <f>"Removes from the cost of service the Load Scheduling and Dispatch expenses booked to accounts 561.1 through 561.8.  Expenses recorded in these accounts, with the exception of 561.4 &amp; 561.8 (lines "&amp;B42&amp;" &amp; "&amp;B43&amp;"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21" s="1139"/>
      <c r="F321" s="1139"/>
      <c r="G321" s="1139"/>
      <c r="H321" s="1139"/>
      <c r="I321" s="1139"/>
      <c r="J321" s="1139"/>
      <c r="K321" s="1139"/>
      <c r="N321" s="132"/>
      <c r="O321" s="132"/>
      <c r="P321" s="132"/>
      <c r="Q321" s="132"/>
      <c r="R321" s="132"/>
      <c r="S321" s="132"/>
    </row>
    <row r="322" spans="2:19" ht="45" customHeight="1">
      <c r="B322" s="281"/>
      <c r="D322" s="1139"/>
      <c r="E322" s="1139"/>
      <c r="F322" s="1139"/>
      <c r="G322" s="1139"/>
      <c r="H322" s="1139"/>
      <c r="I322" s="1139"/>
      <c r="J322" s="1139"/>
      <c r="K322" s="1139"/>
      <c r="N322" s="132"/>
      <c r="O322" s="132"/>
      <c r="P322" s="132"/>
      <c r="Q322" s="132"/>
      <c r="R322" s="132"/>
      <c r="S322" s="132"/>
    </row>
    <row r="323" spans="2:19" ht="5.25" hidden="1" customHeight="1">
      <c r="B323" s="281"/>
      <c r="D323" s="1139"/>
      <c r="E323" s="1139"/>
      <c r="F323" s="1139"/>
      <c r="G323" s="1139"/>
      <c r="H323" s="1139"/>
      <c r="I323" s="1139"/>
      <c r="J323" s="1139"/>
      <c r="K323" s="1139"/>
      <c r="N323" s="132"/>
      <c r="O323" s="132"/>
      <c r="P323" s="132"/>
      <c r="Q323" s="132"/>
      <c r="R323" s="132"/>
      <c r="S323" s="132"/>
    </row>
    <row r="324" spans="2:19">
      <c r="B324" s="281"/>
      <c r="D324" s="283"/>
      <c r="E324" s="285"/>
      <c r="F324" s="285"/>
      <c r="G324" s="285"/>
      <c r="H324" s="285"/>
      <c r="I324" s="285"/>
      <c r="J324" s="285"/>
      <c r="K324" s="285"/>
      <c r="N324" s="132"/>
      <c r="O324" s="132"/>
      <c r="P324" s="132"/>
      <c r="Q324" s="132"/>
      <c r="R324" s="132"/>
      <c r="S324" s="132"/>
    </row>
    <row r="325" spans="2:19">
      <c r="B325" s="281" t="s">
        <v>453</v>
      </c>
      <c r="D325" s="1142" t="str">
        <f>"Removes cost of transmission service provided by others to determine the basis of cash working capital on line "&amp;B140&amp;". To the extent such service is incurred to provide the PJM service at issue, e.g. lease payments to affiliates, such costs are added back on line "&amp;B157&amp;" to determine the total O&amp;M collected in the formula.  The amounts on line"&amp;B157&amp;" is also excluded in the calculation of the FCR percentage calculated on lines "&amp;B26&amp;" through "&amp;B34&amp;"."</f>
        <v>Removes cost of transmission service provided by others to determine the basis of cash working capital on line 66. To the extent such service is incurred to provide the PJM service at issue, e.g. lease payments to affiliates, such costs are added back on line 80 to determine the total O&amp;M collected in the formula.  The amounts on line80 is also excluded in the calculation of the FCR percentage calculated on lines 6 through 12.</v>
      </c>
      <c r="E325" s="1142"/>
      <c r="F325" s="1142"/>
      <c r="G325" s="1142"/>
      <c r="H325" s="1142"/>
      <c r="I325" s="1142"/>
      <c r="J325" s="1142"/>
      <c r="K325" s="1142"/>
      <c r="N325" s="132"/>
      <c r="O325" s="132"/>
      <c r="P325" s="132"/>
      <c r="Q325" s="132"/>
      <c r="R325" s="132"/>
      <c r="S325" s="132"/>
    </row>
    <row r="326" spans="2:19">
      <c r="B326" s="281"/>
      <c r="D326" s="1142"/>
      <c r="E326" s="1142"/>
      <c r="F326" s="1142"/>
      <c r="G326" s="1142"/>
      <c r="H326" s="1142"/>
      <c r="I326" s="1142"/>
      <c r="J326" s="1142"/>
      <c r="K326" s="1142"/>
      <c r="N326" s="132"/>
      <c r="O326" s="132"/>
      <c r="P326" s="132"/>
      <c r="Q326" s="132"/>
      <c r="R326" s="132"/>
      <c r="S326" s="132"/>
    </row>
    <row r="327" spans="2:19">
      <c r="B327" s="281"/>
      <c r="D327" s="1143"/>
      <c r="E327" s="1143"/>
      <c r="F327" s="1143"/>
      <c r="G327" s="1143"/>
      <c r="H327" s="1143"/>
      <c r="I327" s="1143"/>
      <c r="J327" s="1143"/>
      <c r="K327" s="1143"/>
      <c r="N327" s="132"/>
      <c r="O327" s="132"/>
      <c r="P327" s="132"/>
      <c r="Q327" s="132"/>
      <c r="R327" s="132"/>
      <c r="S327" s="132"/>
    </row>
    <row r="328" spans="2:19">
      <c r="B328" s="281"/>
      <c r="D328" s="1144" t="str">
        <f>"The addbacks  on line"&amp;B157&amp;" of activity recorded in 565 represents inter-company sales or purchases of transmission capacity necessary to meet each AEP company's transmission load relative to their available transmission capacity."</f>
        <v>The addbacks  on line80 of activity recorded in 565 represents inter-company sales or purchases of transmission capacity necessary to meet each AEP company's transmission load relative to their available transmission capacity.</v>
      </c>
      <c r="E328" s="1144"/>
      <c r="F328" s="1144"/>
      <c r="G328" s="1144"/>
      <c r="H328" s="1144"/>
      <c r="I328" s="1144"/>
      <c r="J328" s="1144"/>
      <c r="K328" s="286"/>
      <c r="N328" s="132"/>
      <c r="O328" s="132"/>
      <c r="P328" s="132"/>
      <c r="Q328" s="132"/>
      <c r="R328" s="132"/>
      <c r="S328" s="132"/>
    </row>
    <row r="329" spans="2:19">
      <c r="B329" s="281"/>
      <c r="D329" s="1144"/>
      <c r="E329" s="1144"/>
      <c r="F329" s="1144"/>
      <c r="G329" s="1144"/>
      <c r="H329" s="1144"/>
      <c r="I329" s="1144"/>
      <c r="J329" s="1144"/>
      <c r="K329" s="286"/>
      <c r="N329" s="132"/>
      <c r="O329" s="132"/>
      <c r="P329" s="132"/>
      <c r="Q329" s="132"/>
      <c r="R329" s="132"/>
      <c r="S329" s="132"/>
    </row>
    <row r="330" spans="2:19" ht="22.5" customHeight="1">
      <c r="B330" s="281"/>
      <c r="D330" s="285" t="str">
        <f>"The company records referenced on line"&amp;B157&amp;" is the "&amp;F9&amp;" general ledger."</f>
        <v>The company records referenced on line80 is the AEP Indiana Michigan Transmission Company general ledger.</v>
      </c>
      <c r="E330" s="287"/>
      <c r="F330" s="287"/>
      <c r="G330" s="287"/>
      <c r="H330" s="287"/>
      <c r="I330" s="287"/>
      <c r="J330" s="287"/>
      <c r="K330" s="286"/>
      <c r="N330" s="132"/>
      <c r="O330" s="132"/>
      <c r="P330" s="132"/>
      <c r="Q330" s="132"/>
      <c r="R330" s="132"/>
      <c r="S330" s="132"/>
    </row>
    <row r="331" spans="2:19">
      <c r="B331" s="281"/>
      <c r="D331" s="287"/>
      <c r="E331" s="287"/>
      <c r="F331" s="287"/>
      <c r="G331" s="287"/>
      <c r="H331" s="287"/>
      <c r="I331" s="287"/>
      <c r="J331" s="287"/>
      <c r="K331" s="287"/>
      <c r="N331" s="132"/>
      <c r="O331" s="132"/>
      <c r="P331" s="132"/>
      <c r="Q331" s="132"/>
      <c r="R331" s="132"/>
      <c r="S331" s="132"/>
    </row>
    <row r="332" spans="2:19">
      <c r="B332" s="281" t="s">
        <v>454</v>
      </c>
      <c r="D332" s="285" t="s">
        <v>603</v>
      </c>
      <c r="E332" s="41"/>
      <c r="F332" s="41"/>
      <c r="G332" s="41"/>
      <c r="H332" s="41"/>
      <c r="I332" s="41"/>
      <c r="J332" s="41"/>
      <c r="K332" s="41"/>
      <c r="N332" s="132"/>
      <c r="O332" s="132"/>
      <c r="P332" s="132"/>
      <c r="Q332" s="132"/>
      <c r="R332" s="132"/>
      <c r="S332" s="132"/>
    </row>
    <row r="333" spans="2:19">
      <c r="B333" s="281"/>
      <c r="D333" s="288"/>
      <c r="E333" s="288"/>
      <c r="F333" s="288"/>
      <c r="G333" s="288"/>
      <c r="H333" s="288"/>
      <c r="I333" s="288"/>
      <c r="J333" s="288"/>
      <c r="K333" s="288"/>
      <c r="N333" s="132"/>
      <c r="O333" s="132"/>
      <c r="P333" s="132"/>
      <c r="Q333" s="132"/>
      <c r="R333" s="132"/>
      <c r="S333" s="132"/>
    </row>
    <row r="334" spans="2:19" ht="15" customHeight="1">
      <c r="B334" s="281" t="s">
        <v>455</v>
      </c>
      <c r="D334" s="1146" t="s">
        <v>7</v>
      </c>
      <c r="E334" s="1147"/>
      <c r="F334" s="1147"/>
      <c r="G334" s="1147"/>
      <c r="H334" s="1147"/>
      <c r="I334" s="1147"/>
      <c r="J334" s="1147"/>
      <c r="K334" s="285"/>
      <c r="N334" s="132"/>
      <c r="O334" s="132"/>
      <c r="P334" s="132"/>
      <c r="Q334" s="132"/>
      <c r="R334" s="132"/>
      <c r="S334" s="132"/>
    </row>
    <row r="335" spans="2:19">
      <c r="B335" s="281"/>
      <c r="D335" s="1148"/>
      <c r="E335" s="1148"/>
      <c r="F335" s="1148"/>
      <c r="G335" s="1148"/>
      <c r="H335" s="1148"/>
      <c r="I335" s="1148"/>
      <c r="J335" s="1148"/>
      <c r="K335" s="288"/>
      <c r="N335" s="132"/>
      <c r="O335" s="132"/>
      <c r="P335" s="132"/>
      <c r="Q335" s="132"/>
      <c r="R335" s="132"/>
      <c r="S335" s="132"/>
    </row>
    <row r="336" spans="2:19">
      <c r="B336" s="281"/>
      <c r="D336" s="1147"/>
      <c r="E336" s="1147"/>
      <c r="F336" s="1147"/>
      <c r="G336" s="1147"/>
      <c r="H336" s="1147"/>
      <c r="I336" s="1147"/>
      <c r="J336" s="1147"/>
      <c r="K336" s="285"/>
      <c r="N336" s="132"/>
      <c r="O336" s="132"/>
      <c r="P336" s="132"/>
      <c r="Q336" s="132"/>
      <c r="R336" s="132"/>
      <c r="S336" s="132"/>
    </row>
    <row r="337" spans="2:19">
      <c r="B337" s="281"/>
      <c r="N337" s="132"/>
      <c r="O337" s="132"/>
      <c r="P337" s="132"/>
      <c r="Q337" s="132"/>
      <c r="R337" s="132"/>
      <c r="S337" s="132"/>
    </row>
    <row r="338" spans="2:19" ht="15" customHeight="1">
      <c r="B338" s="136" t="s">
        <v>456</v>
      </c>
      <c r="D338" s="1140" t="s">
        <v>798</v>
      </c>
      <c r="E338" s="1141"/>
      <c r="F338" s="1141"/>
      <c r="G338" s="1141"/>
      <c r="H338" s="1141"/>
      <c r="I338" s="1141"/>
      <c r="J338" s="1141"/>
      <c r="K338" s="1141"/>
      <c r="N338" s="132"/>
      <c r="O338" s="132"/>
      <c r="P338" s="132"/>
      <c r="Q338" s="132"/>
      <c r="R338" s="132"/>
      <c r="S338" s="132"/>
    </row>
    <row r="339" spans="2:19">
      <c r="B339" s="281"/>
      <c r="N339" s="132"/>
      <c r="O339" s="132"/>
      <c r="P339" s="132"/>
      <c r="Q339" s="132"/>
      <c r="R339" s="132"/>
      <c r="S339" s="132"/>
    </row>
    <row r="340" spans="2:19">
      <c r="B340" s="136" t="s">
        <v>457</v>
      </c>
      <c r="C340" s="137"/>
      <c r="D340" s="132" t="s">
        <v>158</v>
      </c>
      <c r="E340" s="132"/>
      <c r="F340" s="132"/>
      <c r="G340" s="132"/>
      <c r="H340" s="132"/>
      <c r="I340" s="132"/>
      <c r="J340" s="132"/>
      <c r="K340" s="132"/>
      <c r="L340" s="132"/>
      <c r="N340" s="132"/>
      <c r="O340" s="132"/>
      <c r="P340" s="132"/>
      <c r="Q340" s="132"/>
      <c r="R340" s="132"/>
      <c r="S340" s="132"/>
    </row>
    <row r="341" spans="2:19">
      <c r="B341" s="136"/>
      <c r="C341" s="137"/>
      <c r="D341" s="132" t="s">
        <v>277</v>
      </c>
      <c r="E341" s="132"/>
      <c r="F341" s="132"/>
      <c r="G341" s="132"/>
      <c r="H341" s="132"/>
      <c r="I341" s="132"/>
      <c r="J341" s="132"/>
      <c r="K341" s="132"/>
      <c r="L341" s="132"/>
      <c r="N341" s="132"/>
      <c r="O341" s="132"/>
      <c r="P341" s="132"/>
      <c r="Q341" s="132"/>
      <c r="R341" s="132"/>
      <c r="S341" s="132"/>
    </row>
    <row r="342" spans="2:19">
      <c r="B342" s="136"/>
      <c r="C342" s="137"/>
      <c r="D342" s="132" t="s">
        <v>278</v>
      </c>
      <c r="E342" s="132"/>
      <c r="F342" s="132"/>
      <c r="G342" s="132"/>
      <c r="H342" s="132"/>
      <c r="I342" s="132"/>
      <c r="J342" s="132"/>
      <c r="K342" s="132"/>
      <c r="L342" s="132"/>
      <c r="N342" s="132"/>
      <c r="O342" s="132"/>
      <c r="P342" s="132"/>
      <c r="Q342" s="132"/>
      <c r="R342" s="132"/>
      <c r="S342" s="132"/>
    </row>
    <row r="343" spans="2:19">
      <c r="B343" s="136"/>
      <c r="C343" s="137"/>
      <c r="D343" s="127" t="s">
        <v>279</v>
      </c>
      <c r="E343" s="132"/>
      <c r="F343" s="132"/>
      <c r="G343" s="132"/>
      <c r="H343" s="132"/>
      <c r="I343" s="132"/>
      <c r="J343" s="132"/>
      <c r="K343" s="132"/>
      <c r="L343" s="132"/>
      <c r="N343" s="132"/>
      <c r="O343" s="132"/>
      <c r="P343" s="132"/>
      <c r="Q343" s="132"/>
      <c r="R343" s="132"/>
      <c r="S343" s="132"/>
    </row>
    <row r="344" spans="2:19">
      <c r="B344" s="136"/>
      <c r="C344" s="137"/>
      <c r="E344" s="132"/>
      <c r="F344" s="132"/>
      <c r="G344" s="132"/>
      <c r="H344" s="132"/>
      <c r="I344" s="132"/>
      <c r="J344" s="132"/>
      <c r="K344" s="132"/>
      <c r="L344" s="132"/>
      <c r="N344" s="132"/>
      <c r="O344" s="132"/>
      <c r="P344" s="132"/>
      <c r="Q344" s="132"/>
      <c r="R344" s="132"/>
      <c r="S344" s="132"/>
    </row>
    <row r="345" spans="2:19" ht="25.5" customHeight="1">
      <c r="B345" s="136" t="s">
        <v>458</v>
      </c>
      <c r="C345" s="137"/>
      <c r="D345" s="1145" t="s">
        <v>799</v>
      </c>
      <c r="E345" s="1145"/>
      <c r="F345" s="1145"/>
      <c r="G345" s="1145"/>
      <c r="H345" s="1145"/>
      <c r="I345" s="1145"/>
      <c r="J345" s="1145"/>
      <c r="K345" s="1145"/>
      <c r="L345" s="1145"/>
      <c r="N345" s="132"/>
      <c r="O345" s="132"/>
      <c r="P345" s="132"/>
      <c r="Q345" s="132"/>
      <c r="R345" s="132"/>
      <c r="S345" s="132"/>
    </row>
    <row r="346" spans="2:19">
      <c r="B346" s="136"/>
      <c r="C346" s="137"/>
      <c r="D346" s="1145"/>
      <c r="E346" s="1145"/>
      <c r="F346" s="1145"/>
      <c r="G346" s="1145"/>
      <c r="H346" s="1145"/>
      <c r="I346" s="1145"/>
      <c r="J346" s="1145"/>
      <c r="K346" s="1145"/>
      <c r="L346" s="1145"/>
      <c r="N346" s="132"/>
      <c r="O346" s="132"/>
      <c r="P346" s="132"/>
      <c r="Q346" s="132"/>
      <c r="R346" s="132"/>
      <c r="S346" s="132"/>
    </row>
    <row r="347" spans="2:19">
      <c r="B347" s="136"/>
      <c r="C347" s="137"/>
      <c r="D347" s="1145"/>
      <c r="E347" s="1145"/>
      <c r="F347" s="1145"/>
      <c r="G347" s="1145"/>
      <c r="H347" s="1145"/>
      <c r="I347" s="1145"/>
      <c r="J347" s="1145"/>
      <c r="K347" s="1145"/>
      <c r="L347" s="1145"/>
      <c r="N347" s="132"/>
      <c r="O347" s="132"/>
      <c r="P347" s="132"/>
      <c r="Q347" s="132"/>
      <c r="R347" s="132"/>
      <c r="S347" s="132"/>
    </row>
    <row r="348" spans="2:19">
      <c r="B348" s="136"/>
      <c r="C348" s="137"/>
      <c r="D348" s="215"/>
      <c r="E348" s="132"/>
      <c r="F348" s="132"/>
      <c r="G348" s="132"/>
      <c r="H348" s="132"/>
      <c r="I348" s="132"/>
      <c r="J348" s="132"/>
      <c r="K348" s="132"/>
      <c r="L348" s="132"/>
      <c r="N348" s="132"/>
      <c r="O348" s="132"/>
      <c r="P348" s="132"/>
      <c r="Q348" s="132"/>
      <c r="R348" s="132"/>
      <c r="S348" s="132"/>
    </row>
    <row r="349" spans="2:19">
      <c r="B349" s="202" t="s">
        <v>31</v>
      </c>
      <c r="C349" s="137"/>
      <c r="D349" s="132" t="s">
        <v>594</v>
      </c>
      <c r="E349" s="133"/>
      <c r="F349" s="133"/>
      <c r="G349" s="133"/>
      <c r="H349" s="133"/>
      <c r="I349" s="133"/>
      <c r="J349" s="133"/>
      <c r="N349" s="132"/>
      <c r="O349" s="132"/>
      <c r="P349" s="132"/>
      <c r="Q349" s="132"/>
      <c r="R349" s="132"/>
      <c r="S349" s="132"/>
    </row>
    <row r="350" spans="2:19">
      <c r="B350" s="202"/>
      <c r="C350" s="137"/>
      <c r="D350" s="133"/>
      <c r="E350" s="133"/>
      <c r="F350" s="133"/>
      <c r="G350" s="133"/>
      <c r="H350" s="133"/>
      <c r="I350" s="133"/>
      <c r="J350" s="133"/>
      <c r="N350" s="132"/>
      <c r="O350" s="132"/>
      <c r="P350" s="132"/>
      <c r="Q350" s="132"/>
      <c r="R350" s="132"/>
      <c r="S350" s="132"/>
    </row>
    <row r="351" spans="2:19">
      <c r="B351" s="136" t="s">
        <v>107</v>
      </c>
      <c r="C351" s="137"/>
      <c r="D351" s="132" t="s">
        <v>146</v>
      </c>
      <c r="N351" s="132"/>
      <c r="O351" s="132"/>
      <c r="P351" s="132"/>
      <c r="Q351" s="132"/>
      <c r="R351" s="132"/>
      <c r="S351" s="132"/>
    </row>
    <row r="352" spans="2:19">
      <c r="B352" s="202"/>
      <c r="C352" s="137"/>
      <c r="D352" s="132" t="s">
        <v>18</v>
      </c>
      <c r="N352" s="132"/>
      <c r="O352" s="132"/>
      <c r="P352" s="132"/>
      <c r="Q352" s="132"/>
      <c r="R352" s="132"/>
      <c r="S352" s="132"/>
    </row>
    <row r="353" spans="2:19">
      <c r="B353" s="202"/>
      <c r="C353" s="137"/>
      <c r="D353" s="132" t="s">
        <v>19</v>
      </c>
      <c r="N353" s="132"/>
      <c r="O353" s="132"/>
      <c r="P353" s="132"/>
      <c r="Q353" s="132"/>
      <c r="R353" s="132"/>
      <c r="S353" s="132"/>
    </row>
    <row r="354" spans="2:19">
      <c r="B354" s="202"/>
      <c r="C354" s="137"/>
      <c r="D354" s="132" t="s">
        <v>20</v>
      </c>
      <c r="N354" s="132"/>
      <c r="O354" s="132"/>
      <c r="P354" s="132"/>
      <c r="Q354" s="132"/>
      <c r="R354" s="132"/>
      <c r="S354" s="132"/>
    </row>
    <row r="355" spans="2:19">
      <c r="B355" s="136"/>
      <c r="C355" s="137"/>
      <c r="D355" s="132" t="str">
        <f>"(ln "&amp;B182&amp;") multiplied by (1/1-T) .  If the applicable tax rates are zero enter 0."</f>
        <v>(ln 101) multiplied by (1/1-T) .  If the applicable tax rates are zero enter 0.</v>
      </c>
      <c r="N355" s="132"/>
      <c r="O355" s="132"/>
      <c r="P355" s="132"/>
      <c r="Q355" s="132"/>
      <c r="R355" s="132"/>
      <c r="S355" s="132"/>
    </row>
    <row r="356" spans="2:19">
      <c r="B356" s="289"/>
      <c r="C356" s="132"/>
      <c r="D356" s="132" t="s">
        <v>147</v>
      </c>
      <c r="E356" s="132" t="s">
        <v>148</v>
      </c>
      <c r="F356" s="120">
        <v>0.21</v>
      </c>
      <c r="G356" s="132"/>
      <c r="N356" s="132"/>
      <c r="O356" s="132"/>
      <c r="P356" s="132"/>
      <c r="Q356" s="132"/>
      <c r="R356" s="132"/>
      <c r="S356" s="132"/>
    </row>
    <row r="357" spans="2:19">
      <c r="B357" s="289"/>
      <c r="C357" s="132"/>
      <c r="D357" s="132"/>
      <c r="E357" s="132" t="s">
        <v>149</v>
      </c>
      <c r="F357" s="157">
        <f>+'WS G  State Tax Rate'!F29</f>
        <v>4.9814000000000004E-2</v>
      </c>
      <c r="G357" s="132" t="s">
        <v>301</v>
      </c>
      <c r="N357" s="132"/>
      <c r="O357" s="132"/>
      <c r="P357" s="132"/>
      <c r="Q357" s="132"/>
      <c r="R357" s="132"/>
      <c r="S357" s="132"/>
    </row>
    <row r="358" spans="2:19">
      <c r="B358" s="289"/>
      <c r="C358" s="132"/>
      <c r="D358" s="132"/>
      <c r="E358" s="132" t="s">
        <v>150</v>
      </c>
      <c r="F358" s="120">
        <v>0</v>
      </c>
      <c r="G358" s="132" t="s">
        <v>151</v>
      </c>
      <c r="N358" s="132"/>
      <c r="O358" s="132"/>
      <c r="P358" s="132"/>
      <c r="Q358" s="132"/>
      <c r="R358" s="132"/>
      <c r="S358" s="132"/>
    </row>
    <row r="359" spans="2:19" ht="46.5" customHeight="1">
      <c r="B359" s="202"/>
      <c r="C359" s="137"/>
      <c r="D359" s="1149" t="s">
        <v>604</v>
      </c>
      <c r="E359" s="1149"/>
      <c r="F359" s="1149"/>
      <c r="G359" s="1149"/>
      <c r="H359" s="1149"/>
      <c r="I359" s="1149"/>
      <c r="J359" s="1149"/>
      <c r="M359" s="132"/>
      <c r="N359" s="132"/>
      <c r="O359" s="132"/>
      <c r="P359" s="132"/>
      <c r="Q359" s="132"/>
      <c r="R359" s="132"/>
      <c r="S359" s="132"/>
    </row>
    <row r="360" spans="2:19">
      <c r="B360" s="136" t="s">
        <v>152</v>
      </c>
      <c r="C360" s="137"/>
      <c r="D360" s="132" t="s">
        <v>547</v>
      </c>
      <c r="N360" s="132"/>
      <c r="O360" s="132"/>
      <c r="P360" s="132"/>
      <c r="Q360" s="132"/>
      <c r="R360" s="132"/>
      <c r="S360" s="132"/>
    </row>
    <row r="361" spans="2:19">
      <c r="B361" s="127"/>
      <c r="D361" s="132"/>
      <c r="N361" s="132"/>
      <c r="O361" s="132"/>
      <c r="P361" s="132"/>
      <c r="Q361" s="132"/>
      <c r="R361" s="132"/>
      <c r="S361" s="132"/>
    </row>
    <row r="362" spans="2:19">
      <c r="B362" s="136" t="s">
        <v>153</v>
      </c>
      <c r="C362" s="137"/>
      <c r="D362" s="132" t="s">
        <v>359</v>
      </c>
      <c r="N362" s="132"/>
      <c r="O362" s="132"/>
      <c r="P362" s="132"/>
      <c r="Q362" s="132"/>
      <c r="R362" s="132"/>
      <c r="S362" s="132"/>
    </row>
    <row r="363" spans="2:19">
      <c r="B363" s="136"/>
      <c r="C363" s="137"/>
      <c r="D363" s="132"/>
      <c r="E363" s="132"/>
      <c r="F363" s="132"/>
      <c r="G363" s="132"/>
      <c r="H363" s="132"/>
      <c r="I363" s="132"/>
      <c r="J363" s="132"/>
      <c r="K363" s="132"/>
      <c r="L363" s="132"/>
      <c r="M363" s="132"/>
      <c r="N363" s="132"/>
      <c r="O363" s="132"/>
      <c r="P363" s="132"/>
      <c r="Q363" s="132"/>
      <c r="R363" s="132"/>
      <c r="S363" s="132"/>
    </row>
    <row r="364" spans="2:19">
      <c r="B364" s="136" t="s">
        <v>154</v>
      </c>
      <c r="C364" s="137"/>
      <c r="D364" s="132" t="s">
        <v>618</v>
      </c>
      <c r="E364" s="132"/>
      <c r="F364" s="132"/>
      <c r="G364" s="132"/>
      <c r="H364" s="132"/>
      <c r="I364" s="132"/>
      <c r="J364" s="132"/>
      <c r="K364" s="132"/>
      <c r="L364" s="132"/>
      <c r="M364" s="132"/>
      <c r="N364" s="132"/>
      <c r="O364" s="132"/>
      <c r="P364" s="132"/>
      <c r="Q364" s="132"/>
      <c r="R364" s="132"/>
      <c r="S364" s="132"/>
    </row>
    <row r="365" spans="2:19">
      <c r="B365" s="136"/>
      <c r="C365" s="137"/>
      <c r="D365" s="132"/>
      <c r="E365" s="132"/>
      <c r="F365" s="132"/>
      <c r="G365" s="132"/>
      <c r="H365" s="132"/>
      <c r="I365" s="132"/>
      <c r="J365" s="132"/>
      <c r="K365" s="132"/>
      <c r="L365" s="132"/>
      <c r="M365" s="132"/>
      <c r="N365" s="132"/>
      <c r="O365" s="132"/>
      <c r="P365" s="132"/>
      <c r="Q365" s="132"/>
      <c r="R365" s="132"/>
      <c r="S365" s="132"/>
    </row>
    <row r="366" spans="2:19" ht="15.75" customHeight="1">
      <c r="B366" s="290" t="s">
        <v>155</v>
      </c>
      <c r="C366" s="154"/>
      <c r="D366" s="1150" t="s">
        <v>934</v>
      </c>
      <c r="E366" s="1150"/>
      <c r="F366" s="1150"/>
      <c r="G366" s="1150"/>
      <c r="H366" s="1150"/>
      <c r="I366" s="1150"/>
      <c r="J366" s="1150"/>
      <c r="M366"/>
      <c r="N366" s="132"/>
      <c r="O366" s="132"/>
      <c r="P366" s="132"/>
      <c r="Q366" s="132"/>
      <c r="R366" s="132"/>
      <c r="S366" s="132"/>
    </row>
    <row r="367" spans="2:19" ht="15.75" customHeight="1">
      <c r="B367" s="154"/>
      <c r="C367" s="154"/>
      <c r="D367" s="1150" t="s">
        <v>935</v>
      </c>
      <c r="E367" s="1150"/>
      <c r="F367" s="1150"/>
      <c r="G367" s="1150"/>
      <c r="H367" s="1150"/>
      <c r="I367" s="1150"/>
      <c r="J367" s="1150"/>
      <c r="M367"/>
      <c r="N367" s="132"/>
      <c r="O367" s="132"/>
      <c r="P367" s="132"/>
      <c r="Q367" s="132"/>
      <c r="R367" s="132"/>
      <c r="S367" s="132"/>
    </row>
    <row r="368" spans="2:19" ht="15.75">
      <c r="B368" s="154"/>
      <c r="C368" s="154"/>
      <c r="D368" s="1150"/>
      <c r="E368" s="1150"/>
      <c r="F368" s="1150"/>
      <c r="G368" s="1150"/>
      <c r="H368" s="1150"/>
      <c r="I368" s="1150"/>
      <c r="J368" s="1150"/>
      <c r="M368"/>
      <c r="N368" s="132"/>
      <c r="O368" s="132"/>
      <c r="P368" s="132"/>
      <c r="Q368" s="132"/>
      <c r="R368" s="132"/>
      <c r="S368" s="132"/>
    </row>
    <row r="369" spans="2:19" ht="95.25" customHeight="1">
      <c r="B369" s="154"/>
      <c r="C369" s="154"/>
      <c r="D369" s="1150"/>
      <c r="E369" s="1150"/>
      <c r="F369" s="1150"/>
      <c r="G369" s="1150"/>
      <c r="H369" s="1150"/>
      <c r="I369" s="1150"/>
      <c r="J369" s="1150"/>
      <c r="M369"/>
      <c r="N369" s="132"/>
      <c r="O369" s="132"/>
      <c r="P369" s="132"/>
      <c r="Q369" s="132"/>
      <c r="R369" s="132"/>
      <c r="S369" s="132"/>
    </row>
    <row r="370" spans="2:19" ht="0.75" hidden="1" customHeight="1">
      <c r="B370" s="154"/>
      <c r="C370" s="154"/>
      <c r="D370" s="291"/>
      <c r="E370" s="291"/>
      <c r="F370" s="291"/>
      <c r="G370" s="291"/>
      <c r="H370" s="291"/>
      <c r="I370" s="291"/>
      <c r="J370" s="291"/>
      <c r="M370"/>
      <c r="N370" s="132"/>
      <c r="O370" s="132"/>
      <c r="P370" s="132"/>
      <c r="Q370" s="132"/>
      <c r="R370" s="132"/>
      <c r="S370" s="132"/>
    </row>
    <row r="371" spans="2:19" ht="54.75" hidden="1" customHeight="1">
      <c r="B371" s="154"/>
      <c r="C371" s="154"/>
      <c r="D371" s="291"/>
      <c r="E371" s="291"/>
      <c r="F371" s="291"/>
      <c r="G371" s="291"/>
      <c r="H371" s="291"/>
      <c r="I371" s="291"/>
      <c r="J371" s="291"/>
      <c r="M371"/>
      <c r="N371" s="132"/>
      <c r="O371" s="132"/>
      <c r="P371" s="132"/>
      <c r="Q371" s="132"/>
      <c r="R371" s="132"/>
      <c r="S371" s="132"/>
    </row>
    <row r="372" spans="2:19" ht="16.5" customHeight="1">
      <c r="B372" s="154"/>
      <c r="C372" s="154"/>
      <c r="D372" s="291"/>
      <c r="E372" s="291"/>
      <c r="F372" s="291"/>
      <c r="G372" s="291"/>
      <c r="H372" s="291"/>
      <c r="I372" s="291"/>
      <c r="J372" s="291"/>
      <c r="M372"/>
      <c r="N372" s="132"/>
      <c r="O372" s="132"/>
      <c r="P372" s="132"/>
      <c r="Q372" s="132"/>
      <c r="R372" s="132"/>
      <c r="S372" s="132"/>
    </row>
    <row r="373" spans="2:19" ht="98.25" customHeight="1">
      <c r="B373" s="136" t="s">
        <v>201</v>
      </c>
      <c r="C373" s="154"/>
      <c r="D373" s="1137" t="s">
        <v>763</v>
      </c>
      <c r="E373" s="1138"/>
      <c r="F373" s="1138"/>
      <c r="G373" s="1138"/>
      <c r="H373" s="1138"/>
      <c r="I373" s="1138"/>
      <c r="J373" s="1138"/>
      <c r="M373" s="132"/>
      <c r="N373" s="132"/>
      <c r="O373" s="132"/>
      <c r="P373" s="132"/>
      <c r="Q373" s="132"/>
      <c r="R373" s="132"/>
      <c r="S373" s="132"/>
    </row>
    <row r="374" spans="2:19" ht="15.75">
      <c r="B374" s="136"/>
      <c r="C374" s="154"/>
      <c r="D374" s="291"/>
      <c r="E374" s="292"/>
      <c r="F374" s="292"/>
      <c r="G374" s="292"/>
      <c r="H374" s="292"/>
      <c r="I374" s="292"/>
      <c r="J374" s="292"/>
      <c r="M374" s="132"/>
      <c r="N374" s="132"/>
      <c r="O374" s="132"/>
      <c r="P374" s="132"/>
      <c r="Q374" s="132"/>
      <c r="R374" s="132"/>
      <c r="S374" s="132"/>
    </row>
    <row r="375" spans="2:19">
      <c r="B375" s="136" t="s">
        <v>559</v>
      </c>
      <c r="C375" s="293"/>
      <c r="D375" s="1136" t="s">
        <v>605</v>
      </c>
      <c r="E375" s="1136"/>
      <c r="F375" s="1136"/>
      <c r="G375" s="1136"/>
      <c r="H375" s="1136"/>
      <c r="I375" s="1136"/>
      <c r="J375" s="1136"/>
      <c r="K375" s="294"/>
      <c r="M375" s="132"/>
      <c r="N375" s="132"/>
      <c r="O375" s="132"/>
      <c r="P375" s="132"/>
      <c r="Q375" s="132"/>
      <c r="R375" s="132"/>
      <c r="S375" s="132"/>
    </row>
    <row r="376" spans="2:19">
      <c r="B376" s="136"/>
      <c r="C376" s="137"/>
      <c r="D376" s="127" t="s">
        <v>414</v>
      </c>
      <c r="M376" s="132"/>
      <c r="N376" s="132"/>
      <c r="O376" s="132"/>
      <c r="P376" s="132"/>
      <c r="Q376" s="132"/>
      <c r="R376" s="132"/>
      <c r="S376" s="132"/>
    </row>
    <row r="377" spans="2:19">
      <c r="B377" s="136" t="s">
        <v>606</v>
      </c>
      <c r="C377" s="137"/>
      <c r="D377" s="127" t="s">
        <v>607</v>
      </c>
      <c r="M377" s="132"/>
      <c r="N377" s="132"/>
      <c r="O377" s="132"/>
      <c r="P377" s="132"/>
      <c r="Q377" s="132"/>
      <c r="R377" s="132"/>
      <c r="S377" s="132"/>
    </row>
    <row r="378" spans="2:19">
      <c r="B378" s="136"/>
      <c r="C378" s="137"/>
      <c r="M378" s="132"/>
      <c r="N378" s="132"/>
      <c r="O378" s="132"/>
      <c r="P378" s="132"/>
      <c r="Q378" s="132"/>
      <c r="R378" s="132"/>
      <c r="S378" s="132"/>
    </row>
    <row r="379" spans="2:19" ht="30" customHeight="1">
      <c r="B379" s="136" t="s">
        <v>608</v>
      </c>
      <c r="C379" s="137"/>
      <c r="D379" s="1136" t="s">
        <v>609</v>
      </c>
      <c r="E379" s="1136"/>
      <c r="F379" s="1136"/>
      <c r="G379" s="1136"/>
      <c r="H379" s="1136"/>
      <c r="I379" s="1136"/>
      <c r="J379" s="1136"/>
      <c r="K379" s="1136"/>
      <c r="M379" s="132"/>
      <c r="N379" s="132"/>
      <c r="O379" s="132"/>
      <c r="P379" s="132"/>
      <c r="Q379" s="132"/>
      <c r="R379" s="132"/>
      <c r="S379" s="132"/>
    </row>
    <row r="380" spans="2:19">
      <c r="B380"/>
      <c r="C380"/>
      <c r="D380"/>
      <c r="E380"/>
      <c r="F380"/>
      <c r="G380"/>
      <c r="H380"/>
      <c r="M380" s="132"/>
      <c r="N380" s="132"/>
      <c r="O380" s="132"/>
      <c r="P380" s="132"/>
      <c r="Q380" s="132"/>
      <c r="R380" s="132"/>
      <c r="S380" s="132"/>
    </row>
    <row r="381" spans="2:19" ht="46.5" customHeight="1">
      <c r="B381" s="1" t="s">
        <v>610</v>
      </c>
      <c r="C381"/>
      <c r="D381" s="1136" t="s">
        <v>614</v>
      </c>
      <c r="E381" s="1136"/>
      <c r="F381" s="1136"/>
      <c r="G381" s="1136"/>
      <c r="H381" s="1136"/>
      <c r="I381" s="1136"/>
      <c r="J381" s="1136"/>
      <c r="K381" s="1136"/>
      <c r="M381" s="132"/>
      <c r="N381" s="132"/>
      <c r="O381" s="132"/>
      <c r="P381" s="132"/>
      <c r="Q381" s="132"/>
      <c r="R381" s="132"/>
      <c r="S381" s="132"/>
    </row>
    <row r="382" spans="2:19">
      <c r="B382" s="905" t="s">
        <v>639</v>
      </c>
      <c r="C382" s="906"/>
      <c r="D382" s="907" t="s">
        <v>640</v>
      </c>
      <c r="E382" s="749"/>
      <c r="F382" s="749"/>
      <c r="G382" s="749"/>
      <c r="H382" s="749"/>
      <c r="M382" s="132"/>
      <c r="N382" s="132"/>
      <c r="O382" s="132"/>
      <c r="P382" s="132"/>
      <c r="Q382" s="132"/>
      <c r="R382" s="132"/>
      <c r="S382" s="132"/>
    </row>
    <row r="383" spans="2:19">
      <c r="B383" s="17" t="s">
        <v>832</v>
      </c>
      <c r="C383"/>
      <c r="D383" s="1135" t="s">
        <v>833</v>
      </c>
      <c r="E383" s="1135"/>
      <c r="F383" s="1135"/>
      <c r="G383" s="1135"/>
      <c r="H383" s="1135"/>
      <c r="I383" s="1135"/>
      <c r="J383" s="1135"/>
      <c r="K383" s="1135"/>
      <c r="M383" s="132"/>
      <c r="N383" s="132"/>
      <c r="O383" s="132"/>
      <c r="P383" s="132"/>
      <c r="Q383" s="132"/>
      <c r="R383" s="132"/>
      <c r="S383" s="132"/>
    </row>
    <row r="384" spans="2:19">
      <c r="B384"/>
      <c r="C384"/>
      <c r="D384" s="1135"/>
      <c r="E384" s="1135"/>
      <c r="F384" s="1135"/>
      <c r="G384" s="1135"/>
      <c r="H384" s="1135"/>
      <c r="I384" s="1135"/>
      <c r="J384" s="1135"/>
      <c r="K384" s="1135"/>
      <c r="M384" s="132"/>
      <c r="N384" s="132"/>
      <c r="O384" s="132"/>
      <c r="P384" s="132"/>
      <c r="Q384" s="132"/>
      <c r="R384" s="132"/>
      <c r="S384" s="132"/>
    </row>
    <row r="385" spans="2:19">
      <c r="B385" s="127"/>
      <c r="M385" s="132"/>
      <c r="N385" s="132"/>
      <c r="O385" s="132"/>
      <c r="P385" s="132"/>
      <c r="Q385" s="132"/>
      <c r="R385" s="132"/>
      <c r="S385" s="132"/>
    </row>
    <row r="386" spans="2:19">
      <c r="B386" s="281" t="s">
        <v>1056</v>
      </c>
      <c r="D386" s="127" t="s">
        <v>1057</v>
      </c>
      <c r="M386" s="132"/>
      <c r="N386" s="132"/>
      <c r="O386" s="132"/>
      <c r="P386" s="132"/>
      <c r="Q386" s="132"/>
      <c r="R386" s="132"/>
      <c r="S386" s="132"/>
    </row>
    <row r="387" spans="2:19">
      <c r="H387" s="132"/>
      <c r="I387" s="132"/>
      <c r="J387" s="132"/>
      <c r="K387" s="132"/>
      <c r="L387" s="132"/>
      <c r="M387" s="132"/>
      <c r="N387" s="132"/>
      <c r="O387" s="132"/>
      <c r="P387" s="132"/>
      <c r="Q387" s="132"/>
      <c r="R387" s="132"/>
      <c r="S387" s="132"/>
    </row>
    <row r="388" spans="2:19">
      <c r="B388" s="281" t="s">
        <v>1058</v>
      </c>
      <c r="D388" s="127" t="s">
        <v>1059</v>
      </c>
      <c r="H388" s="132"/>
      <c r="K388" s="132"/>
      <c r="L388" s="132"/>
      <c r="M388" s="132"/>
      <c r="N388" s="132"/>
      <c r="O388" s="132"/>
      <c r="P388" s="132"/>
      <c r="Q388" s="132"/>
      <c r="R388" s="132"/>
      <c r="S388" s="132"/>
    </row>
  </sheetData>
  <mergeCells count="23">
    <mergeCell ref="G265:H265"/>
    <mergeCell ref="G247:H247"/>
    <mergeCell ref="D297:K298"/>
    <mergeCell ref="D366:J366"/>
    <mergeCell ref="B21:I22"/>
    <mergeCell ref="I57:J57"/>
    <mergeCell ref="I60:J60"/>
    <mergeCell ref="I127:J127"/>
    <mergeCell ref="I130:J130"/>
    <mergeCell ref="D39:L39"/>
    <mergeCell ref="D383:K384"/>
    <mergeCell ref="D381:K381"/>
    <mergeCell ref="D373:J373"/>
    <mergeCell ref="D321:K323"/>
    <mergeCell ref="D338:K338"/>
    <mergeCell ref="D325:K327"/>
    <mergeCell ref="D375:J375"/>
    <mergeCell ref="D328:J329"/>
    <mergeCell ref="D345:L347"/>
    <mergeCell ref="D334:J336"/>
    <mergeCell ref="D379:K379"/>
    <mergeCell ref="D359:J359"/>
    <mergeCell ref="D367:J369"/>
  </mergeCells>
  <phoneticPr fontId="0" type="noConversion"/>
  <pageMargins left="0.26" right="1.28" top="1" bottom="1" header="0.86" footer="0.5"/>
  <pageSetup scale="33" fitToHeight="5" orientation="portrait" r:id="rId1"/>
  <headerFooter alignWithMargins="0">
    <oddHeader>&amp;R&amp;"Arial,Bold"Formula Rate 
&amp;A
Page &amp;P of &amp;N</oddHeader>
  </headerFooter>
  <rowBreaks count="4" manualBreakCount="4">
    <brk id="48" max="11" man="1"/>
    <brk id="119" max="11" man="1"/>
    <brk id="200" max="11" man="1"/>
    <brk id="271"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V151"/>
  <sheetViews>
    <sheetView tabSelected="1" topLeftCell="A9" zoomScaleNormal="100" workbookViewId="0">
      <selection activeCell="O54" sqref="O54"/>
    </sheetView>
  </sheetViews>
  <sheetFormatPr defaultRowHeight="15"/>
  <cols>
    <col min="1" max="1" width="9.42578125" style="367" customWidth="1"/>
    <col min="2" max="2" width="6.7109375" style="367" customWidth="1"/>
    <col min="3" max="7" width="12.7109375" style="367" customWidth="1"/>
    <col min="8" max="8" width="19.28515625" style="367" customWidth="1"/>
    <col min="9" max="9" width="15" style="367" bestFit="1" customWidth="1"/>
    <col min="10" max="11" width="16.5703125" style="367" bestFit="1" customWidth="1"/>
    <col min="12" max="13" width="22.140625" style="367" bestFit="1" customWidth="1"/>
    <col min="14" max="14" width="8.42578125" style="367" customWidth="1"/>
    <col min="15" max="38" width="12.7109375" style="367" customWidth="1"/>
    <col min="39" max="16384" width="9.140625" style="367"/>
  </cols>
  <sheetData>
    <row r="1" spans="1:22" ht="15.75">
      <c r="A1" s="738" t="s">
        <v>414</v>
      </c>
    </row>
    <row r="2" spans="1:22" ht="15.75">
      <c r="A2" s="738" t="s">
        <v>414</v>
      </c>
    </row>
    <row r="3" spans="1:22">
      <c r="A3" s="1161" t="str">
        <f>TCOS!$F$5</f>
        <v>AEPTCo subsidiaries in PJM</v>
      </c>
      <c r="B3" s="1161" t="str">
        <f>TCOS!$F$5</f>
        <v>AEPTCo subsidiaries in PJM</v>
      </c>
      <c r="C3" s="1161" t="str">
        <f>TCOS!$F$5</f>
        <v>AEPTCo subsidiaries in PJM</v>
      </c>
      <c r="D3" s="1161" t="str">
        <f>TCOS!$F$5</f>
        <v>AEPTCo subsidiaries in PJM</v>
      </c>
      <c r="E3" s="1161" t="str">
        <f>TCOS!$F$5</f>
        <v>AEPTCo subsidiaries in PJM</v>
      </c>
      <c r="F3" s="1161" t="str">
        <f>TCOS!$F$5</f>
        <v>AEPTCo subsidiaries in PJM</v>
      </c>
      <c r="G3" s="1161" t="str">
        <f>TCOS!$F$5</f>
        <v>AEPTCo subsidiaries in PJM</v>
      </c>
      <c r="H3" s="1161" t="str">
        <f>TCOS!$F$5</f>
        <v>AEPTCo subsidiaries in PJM</v>
      </c>
      <c r="I3" s="1161" t="str">
        <f>TCOS!$F$5</f>
        <v>AEPTCo subsidiaries in PJM</v>
      </c>
      <c r="J3" s="1161" t="str">
        <f>TCOS!$F$5</f>
        <v>AEPTCo subsidiaries in PJM</v>
      </c>
      <c r="K3" s="1161" t="str">
        <f>TCOS!$F$5</f>
        <v>AEPTCo subsidiaries in PJM</v>
      </c>
      <c r="L3" s="17"/>
      <c r="M3" s="17"/>
      <c r="N3" s="17"/>
      <c r="O3" s="17"/>
    </row>
    <row r="4" spans="1:22">
      <c r="A4" s="1162" t="str">
        <f>"Cost of Service Formula Rate Using Actual/Projected FF1 Balances"</f>
        <v>Cost of Service Formula Rate Using Actual/Projected FF1 Balances</v>
      </c>
      <c r="B4" s="1162"/>
      <c r="C4" s="1162"/>
      <c r="D4" s="1162"/>
      <c r="E4" s="1162"/>
      <c r="F4" s="1162"/>
      <c r="G4" s="1162"/>
      <c r="H4" s="1162"/>
      <c r="I4" s="1162"/>
      <c r="J4" s="1162"/>
      <c r="K4" s="1162"/>
      <c r="L4" s="45"/>
      <c r="M4" s="45"/>
      <c r="N4" s="45"/>
      <c r="O4" s="45"/>
    </row>
    <row r="5" spans="1:22">
      <c r="A5" s="1162" t="s">
        <v>22</v>
      </c>
      <c r="B5" s="1162"/>
      <c r="C5" s="1162"/>
      <c r="D5" s="1162"/>
      <c r="E5" s="1162"/>
      <c r="F5" s="1162"/>
      <c r="G5" s="1162"/>
      <c r="H5" s="1162"/>
      <c r="I5" s="1162"/>
      <c r="J5" s="1162"/>
      <c r="K5" s="1162"/>
      <c r="L5" s="44"/>
      <c r="M5" s="44"/>
      <c r="N5" s="44"/>
      <c r="O5" s="44"/>
    </row>
    <row r="6" spans="1:22">
      <c r="A6" s="1173" t="str">
        <f>TCOS!F9</f>
        <v>AEP Indiana Michigan Transmission Company</v>
      </c>
      <c r="B6" s="1173"/>
      <c r="C6" s="1173"/>
      <c r="D6" s="1173"/>
      <c r="E6" s="1173"/>
      <c r="F6" s="1173"/>
      <c r="G6" s="1173"/>
      <c r="H6" s="1173"/>
      <c r="I6" s="1173"/>
      <c r="J6" s="1173"/>
      <c r="K6" s="1173"/>
      <c r="L6" s="2"/>
      <c r="M6" s="2"/>
      <c r="N6" s="2"/>
      <c r="O6" s="2"/>
    </row>
    <row r="8" spans="1:22" ht="18">
      <c r="A8" s="1200"/>
      <c r="B8" s="1200"/>
      <c r="C8" s="1200"/>
      <c r="D8" s="1200"/>
      <c r="E8" s="1200"/>
      <c r="F8" s="1200"/>
      <c r="G8" s="1200"/>
      <c r="H8" s="1200"/>
      <c r="I8" s="1200"/>
      <c r="J8" s="1200"/>
      <c r="K8" s="1200"/>
      <c r="L8" s="368"/>
      <c r="M8" s="369"/>
    </row>
    <row r="9" spans="1:22" ht="18">
      <c r="A9" s="67"/>
      <c r="B9" s="67"/>
      <c r="C9" s="67"/>
      <c r="D9" s="67"/>
      <c r="E9" s="67"/>
      <c r="F9" s="67"/>
      <c r="G9" s="67"/>
      <c r="H9" s="67"/>
      <c r="I9" s="67"/>
      <c r="J9" s="67"/>
      <c r="K9" s="67"/>
      <c r="L9" s="368"/>
      <c r="M9" s="369"/>
    </row>
    <row r="10" spans="1:22" ht="15.75">
      <c r="A10" s="370" t="s">
        <v>467</v>
      </c>
      <c r="B10" s="368"/>
      <c r="C10" s="16"/>
      <c r="D10" s="16"/>
      <c r="E10" s="16"/>
      <c r="F10" s="16"/>
      <c r="G10" s="371"/>
      <c r="H10" s="371"/>
      <c r="I10" s="370" t="s">
        <v>480</v>
      </c>
      <c r="J10" s="370" t="s">
        <v>363</v>
      </c>
      <c r="K10" s="372"/>
      <c r="N10" s="373"/>
      <c r="P10" s="373"/>
      <c r="R10" s="373"/>
      <c r="S10" s="373"/>
      <c r="T10" s="373"/>
      <c r="U10" s="133"/>
      <c r="V10" s="133"/>
    </row>
    <row r="11" spans="1:22" ht="15.75">
      <c r="A11" s="370" t="s">
        <v>405</v>
      </c>
      <c r="B11" s="1201" t="s">
        <v>465</v>
      </c>
      <c r="C11" s="1201"/>
      <c r="D11" s="1201"/>
      <c r="E11" s="1201"/>
      <c r="F11" s="1201"/>
      <c r="G11" s="1201"/>
      <c r="H11" s="1201"/>
      <c r="I11" s="370" t="s">
        <v>481</v>
      </c>
      <c r="J11" s="370" t="s">
        <v>415</v>
      </c>
      <c r="K11" s="370" t="s">
        <v>415</v>
      </c>
      <c r="N11" s="373"/>
      <c r="O11" s="373"/>
      <c r="P11" s="373"/>
      <c r="Q11" s="373"/>
      <c r="R11" s="373"/>
      <c r="S11" s="373"/>
      <c r="T11" s="374"/>
      <c r="U11" s="133"/>
      <c r="V11" s="133"/>
    </row>
    <row r="12" spans="1:22" ht="15.75">
      <c r="A12" s="371"/>
      <c r="B12" s="375"/>
      <c r="C12" s="368"/>
      <c r="D12" s="371"/>
      <c r="E12" s="371"/>
      <c r="F12" s="371"/>
      <c r="G12" s="371"/>
      <c r="H12" s="371"/>
      <c r="I12" s="371"/>
      <c r="J12" s="371"/>
      <c r="K12" s="376"/>
      <c r="N12" s="373"/>
      <c r="O12" s="373"/>
      <c r="P12" s="373"/>
      <c r="Q12" s="373"/>
      <c r="R12" s="373"/>
      <c r="S12" s="373"/>
      <c r="T12" s="374"/>
      <c r="U12" s="133"/>
      <c r="V12" s="133"/>
    </row>
    <row r="13" spans="1:22" s="379" customFormat="1" ht="12.75">
      <c r="A13" s="377">
        <v>1</v>
      </c>
      <c r="B13" s="378" t="s">
        <v>9</v>
      </c>
      <c r="D13" s="380"/>
      <c r="E13" s="380"/>
      <c r="F13" s="381"/>
      <c r="G13" s="380"/>
      <c r="H13" s="380"/>
      <c r="I13" s="393"/>
      <c r="J13" s="382">
        <f>+I13-K13</f>
        <v>0</v>
      </c>
      <c r="K13" s="393"/>
      <c r="N13" s="3"/>
      <c r="O13" s="3"/>
      <c r="P13" s="3"/>
      <c r="Q13" s="3"/>
      <c r="R13" s="3"/>
      <c r="S13" s="3"/>
      <c r="T13" s="47"/>
      <c r="U13" s="3"/>
      <c r="V13" s="3"/>
    </row>
    <row r="14" spans="1:22" s="379" customFormat="1" ht="12.75">
      <c r="A14" s="377"/>
      <c r="B14" s="378"/>
      <c r="D14" s="380"/>
      <c r="E14" s="380"/>
      <c r="F14" s="381"/>
      <c r="G14" s="380"/>
      <c r="H14" s="380"/>
      <c r="I14" s="383"/>
      <c r="J14" s="381"/>
      <c r="K14" s="381"/>
      <c r="N14" s="3"/>
      <c r="O14" s="3"/>
      <c r="P14" s="3"/>
      <c r="Q14" s="3"/>
      <c r="R14" s="3"/>
      <c r="S14" s="3"/>
      <c r="T14" s="47"/>
      <c r="U14" s="3"/>
      <c r="V14" s="3"/>
    </row>
    <row r="15" spans="1:22" s="379" customFormat="1" ht="12.75">
      <c r="A15" s="377">
        <f>+A13+1</f>
        <v>2</v>
      </c>
      <c r="B15" s="378" t="s">
        <v>10</v>
      </c>
      <c r="D15" s="380"/>
      <c r="E15" s="380"/>
      <c r="F15" s="381"/>
      <c r="G15" s="380"/>
      <c r="H15" s="381"/>
      <c r="I15" s="393"/>
      <c r="J15" s="382">
        <f>+I15-K15</f>
        <v>0</v>
      </c>
      <c r="K15" s="393"/>
      <c r="N15" s="3"/>
      <c r="O15" s="3"/>
      <c r="P15" s="3"/>
      <c r="Q15" s="3"/>
      <c r="R15" s="3"/>
      <c r="S15" s="3"/>
      <c r="T15" s="3"/>
      <c r="U15" s="3"/>
      <c r="V15" s="3"/>
    </row>
    <row r="16" spans="1:22" s="379" customFormat="1" ht="12.75">
      <c r="A16" s="377"/>
      <c r="B16" s="378"/>
      <c r="D16" s="380"/>
      <c r="E16" s="380"/>
      <c r="F16" s="381"/>
      <c r="G16" s="380"/>
      <c r="H16" s="381"/>
      <c r="I16" s="381"/>
      <c r="J16" s="381"/>
      <c r="K16" s="384"/>
      <c r="N16" s="3"/>
      <c r="O16" s="3"/>
      <c r="P16" s="3"/>
      <c r="Q16" s="3"/>
      <c r="R16" s="3"/>
      <c r="S16" s="3"/>
      <c r="T16" s="3"/>
      <c r="U16" s="3"/>
      <c r="V16" s="3"/>
    </row>
    <row r="17" spans="1:22" s="379" customFormat="1" ht="12.75">
      <c r="A17" s="377">
        <f>+A15+1</f>
        <v>3</v>
      </c>
      <c r="B17" s="378" t="s">
        <v>11</v>
      </c>
      <c r="D17" s="380"/>
      <c r="E17" s="380"/>
      <c r="F17" s="381"/>
      <c r="G17" s="380"/>
      <c r="H17" s="380"/>
      <c r="I17" s="393">
        <v>1951350.8640000001</v>
      </c>
      <c r="J17" s="382">
        <f>+I17-K17</f>
        <v>0</v>
      </c>
      <c r="K17" s="393">
        <f>I17</f>
        <v>1951350.8640000001</v>
      </c>
      <c r="N17" s="3"/>
      <c r="O17" s="3"/>
      <c r="P17" s="3"/>
      <c r="Q17" s="3"/>
      <c r="R17" s="3"/>
      <c r="S17" s="3"/>
      <c r="T17" s="3"/>
      <c r="U17" s="3"/>
      <c r="V17" s="3"/>
    </row>
    <row r="18" spans="1:22" s="379" customFormat="1" ht="12.75">
      <c r="A18" s="377"/>
      <c r="B18" s="381"/>
      <c r="D18" s="380"/>
      <c r="E18" s="380"/>
      <c r="F18" s="381"/>
      <c r="G18" s="384"/>
      <c r="H18" s="381"/>
      <c r="I18" s="381"/>
      <c r="J18" s="381"/>
      <c r="K18" s="381"/>
      <c r="N18" s="3"/>
      <c r="O18" s="3"/>
      <c r="P18" s="3"/>
      <c r="Q18" s="3"/>
      <c r="R18" s="3"/>
      <c r="S18" s="3"/>
      <c r="T18" s="3"/>
      <c r="U18" s="3"/>
      <c r="V18" s="3"/>
    </row>
    <row r="19" spans="1:22" s="379" customFormat="1" ht="12.75">
      <c r="A19" s="734">
        <v>4</v>
      </c>
      <c r="B19" s="912" t="s">
        <v>768</v>
      </c>
      <c r="C19" s="3"/>
      <c r="D19" s="913"/>
      <c r="E19" s="913"/>
      <c r="F19" s="913"/>
      <c r="G19" s="735"/>
      <c r="H19" s="913"/>
      <c r="I19" s="393"/>
      <c r="J19" s="382">
        <f>+I19-K19</f>
        <v>0</v>
      </c>
      <c r="K19" s="393"/>
      <c r="N19" s="386"/>
      <c r="O19" s="3"/>
      <c r="P19" s="3"/>
      <c r="Q19" s="3"/>
      <c r="R19" s="3"/>
      <c r="S19" s="3"/>
      <c r="T19" s="3"/>
      <c r="U19" s="3"/>
      <c r="V19" s="3"/>
    </row>
    <row r="20" spans="1:22" s="379" customFormat="1" ht="12.75">
      <c r="A20" s="734"/>
      <c r="B20" s="912"/>
      <c r="C20" s="3"/>
      <c r="D20" s="913"/>
      <c r="E20" s="913"/>
      <c r="F20" s="913"/>
      <c r="G20" s="735"/>
      <c r="H20" s="913"/>
      <c r="I20" s="3"/>
      <c r="J20" s="3"/>
      <c r="K20" s="3"/>
      <c r="L20" s="3"/>
      <c r="N20" s="386"/>
      <c r="O20" s="3"/>
      <c r="P20" s="3"/>
      <c r="Q20" s="3"/>
      <c r="R20" s="3"/>
      <c r="S20" s="3"/>
      <c r="T20" s="3"/>
      <c r="U20" s="3"/>
      <c r="V20" s="3"/>
    </row>
    <row r="21" spans="1:22" s="379" customFormat="1" ht="12.75">
      <c r="A21" s="734">
        <v>5</v>
      </c>
      <c r="B21" s="912" t="s">
        <v>769</v>
      </c>
      <c r="C21" s="3"/>
      <c r="D21" s="913"/>
      <c r="E21" s="913"/>
      <c r="F21" s="913"/>
      <c r="G21" s="735"/>
      <c r="H21" s="913"/>
      <c r="I21" s="393">
        <v>549602400.43999994</v>
      </c>
      <c r="J21" s="382">
        <f>+I21-K21</f>
        <v>549573366.43999994</v>
      </c>
      <c r="K21" s="393">
        <v>29034</v>
      </c>
      <c r="N21" s="386"/>
      <c r="O21" s="3"/>
      <c r="P21" s="3"/>
      <c r="Q21" s="3"/>
      <c r="R21" s="3"/>
      <c r="S21" s="3"/>
      <c r="T21" s="3"/>
      <c r="U21" s="3"/>
      <c r="V21" s="3"/>
    </row>
    <row r="22" spans="1:22" s="379" customFormat="1" ht="12.75">
      <c r="A22" s="734"/>
      <c r="B22" s="912"/>
      <c r="C22" s="3"/>
      <c r="D22" s="913"/>
      <c r="E22" s="913"/>
      <c r="F22" s="913"/>
      <c r="G22" s="735"/>
      <c r="H22" s="913"/>
      <c r="I22" s="393"/>
      <c r="J22" s="382"/>
      <c r="K22" s="393"/>
      <c r="N22" s="386"/>
      <c r="O22" s="3"/>
      <c r="P22" s="3"/>
      <c r="Q22" s="3"/>
      <c r="R22" s="3"/>
      <c r="S22" s="3"/>
      <c r="T22" s="3"/>
      <c r="U22" s="3"/>
      <c r="V22" s="3"/>
    </row>
    <row r="23" spans="1:22" s="379" customFormat="1" ht="12.75">
      <c r="A23" s="734" t="s">
        <v>625</v>
      </c>
      <c r="B23" s="912" t="s">
        <v>626</v>
      </c>
      <c r="C23" s="3"/>
      <c r="D23" s="913"/>
      <c r="E23" s="913"/>
      <c r="F23" s="913"/>
      <c r="G23" s="735"/>
      <c r="H23" s="913"/>
      <c r="I23" s="736"/>
      <c r="J23" s="737">
        <v>0</v>
      </c>
      <c r="K23" s="736"/>
      <c r="N23" s="386"/>
      <c r="O23" s="3"/>
      <c r="P23" s="3"/>
      <c r="Q23" s="3"/>
      <c r="R23" s="3"/>
      <c r="S23" s="3"/>
      <c r="T23" s="3"/>
      <c r="U23" s="3"/>
      <c r="V23" s="3"/>
    </row>
    <row r="24" spans="1:22" s="379" customFormat="1" ht="12.75">
      <c r="A24" s="734"/>
      <c r="B24" s="912"/>
      <c r="C24" s="3"/>
      <c r="D24" s="913"/>
      <c r="E24" s="913"/>
      <c r="F24" s="913"/>
      <c r="G24" s="735"/>
      <c r="H24" s="913"/>
      <c r="I24" s="736"/>
      <c r="J24" s="737"/>
      <c r="K24" s="736"/>
      <c r="N24" s="386"/>
      <c r="O24" s="3"/>
      <c r="P24" s="3"/>
      <c r="Q24" s="3"/>
      <c r="R24" s="3"/>
      <c r="S24" s="3"/>
      <c r="T24" s="3"/>
      <c r="U24" s="3"/>
      <c r="V24" s="3"/>
    </row>
    <row r="25" spans="1:22" s="379" customFormat="1" ht="12.75">
      <c r="A25" s="734" t="s">
        <v>627</v>
      </c>
      <c r="B25" s="912" t="s">
        <v>628</v>
      </c>
      <c r="C25" s="3"/>
      <c r="D25" s="913"/>
      <c r="E25" s="913"/>
      <c r="F25" s="913"/>
      <c r="G25" s="735"/>
      <c r="H25" s="913"/>
      <c r="I25" s="736"/>
      <c r="J25" s="737">
        <v>0</v>
      </c>
      <c r="K25" s="736"/>
      <c r="N25" s="386"/>
      <c r="O25" s="3"/>
      <c r="P25" s="3"/>
      <c r="Q25" s="3"/>
      <c r="R25" s="3"/>
      <c r="S25" s="3"/>
      <c r="T25" s="3"/>
      <c r="U25" s="3"/>
      <c r="V25" s="3"/>
    </row>
    <row r="26" spans="1:22" s="379" customFormat="1" ht="12.75">
      <c r="A26" s="377"/>
      <c r="B26" s="385"/>
      <c r="D26" s="380"/>
      <c r="E26" s="380"/>
      <c r="F26" s="381"/>
      <c r="G26" s="384"/>
      <c r="H26" s="381"/>
      <c r="I26" s="3"/>
      <c r="J26" s="3"/>
      <c r="K26" s="3"/>
      <c r="N26" s="3"/>
      <c r="O26" s="3"/>
      <c r="P26" s="3"/>
      <c r="Q26" s="3"/>
      <c r="R26" s="3"/>
      <c r="S26" s="3"/>
      <c r="T26" s="3"/>
      <c r="U26" s="3"/>
      <c r="V26" s="3"/>
    </row>
    <row r="27" spans="1:22" s="379" customFormat="1" ht="12.75">
      <c r="A27" s="377">
        <f>+A21+1</f>
        <v>6</v>
      </c>
      <c r="B27" s="385" t="s">
        <v>335</v>
      </c>
      <c r="D27" s="380"/>
      <c r="E27" s="380"/>
      <c r="F27" s="381"/>
      <c r="G27" s="384"/>
      <c r="H27" s="381"/>
      <c r="I27" s="387">
        <f>+I21+I19+I17+I15+I13+I23+I25</f>
        <v>551553751.3039999</v>
      </c>
      <c r="J27" s="387">
        <f>+J21+J19+J17+J15+J13+J23+J25</f>
        <v>549573366.43999994</v>
      </c>
      <c r="K27" s="387">
        <f>+K21+K19+K17+K15+K13+K23+K25</f>
        <v>1980384.8640000001</v>
      </c>
      <c r="N27" s="3"/>
      <c r="O27" s="3"/>
      <c r="P27" s="3"/>
      <c r="Q27" s="3"/>
      <c r="R27" s="3"/>
      <c r="S27" s="3"/>
      <c r="T27" s="3"/>
      <c r="U27" s="3"/>
      <c r="V27" s="3"/>
    </row>
    <row r="28" spans="1:22" s="379" customFormat="1" ht="12.75">
      <c r="A28" s="377"/>
      <c r="B28" s="385"/>
      <c r="D28" s="380"/>
      <c r="E28" s="380"/>
      <c r="F28" s="381"/>
      <c r="G28" s="384"/>
      <c r="H28" s="381"/>
      <c r="I28" s="3"/>
      <c r="J28" s="3"/>
      <c r="K28" s="3"/>
      <c r="N28" s="3"/>
      <c r="O28" s="3"/>
      <c r="P28" s="3"/>
      <c r="Q28" s="3"/>
      <c r="R28" s="3"/>
      <c r="S28" s="3"/>
      <c r="T28" s="3"/>
      <c r="U28" s="3"/>
      <c r="V28" s="3"/>
    </row>
    <row r="29" spans="1:22" s="379" customFormat="1" ht="12.75">
      <c r="A29" s="377">
        <f>+A27+1</f>
        <v>7</v>
      </c>
      <c r="B29" s="1199" t="s">
        <v>12</v>
      </c>
      <c r="C29" s="1147"/>
      <c r="D29" s="1147"/>
      <c r="E29" s="1147"/>
      <c r="F29" s="1147"/>
      <c r="G29" s="1147"/>
      <c r="H29" s="381"/>
      <c r="I29" s="393"/>
      <c r="J29" s="382">
        <f>+I29-K29</f>
        <v>0</v>
      </c>
      <c r="K29" s="393"/>
      <c r="N29" s="3"/>
      <c r="O29" s="3"/>
      <c r="P29" s="3"/>
      <c r="Q29" s="3"/>
      <c r="R29" s="3"/>
      <c r="S29" s="3"/>
      <c r="T29" s="3"/>
      <c r="U29" s="3"/>
      <c r="V29" s="3"/>
    </row>
    <row r="30" spans="1:22" s="379" customFormat="1" ht="12.75">
      <c r="A30" s="377"/>
      <c r="B30" s="1147"/>
      <c r="C30" s="1147"/>
      <c r="D30" s="1147"/>
      <c r="E30" s="1147"/>
      <c r="F30" s="1147"/>
      <c r="G30" s="1147"/>
      <c r="H30" s="381"/>
      <c r="I30" s="382"/>
      <c r="J30" s="381"/>
      <c r="K30" s="382"/>
      <c r="N30" s="3"/>
      <c r="O30" s="3"/>
      <c r="P30" s="3"/>
      <c r="Q30" s="3"/>
      <c r="R30" s="3"/>
      <c r="S30" s="3"/>
      <c r="T30" s="3"/>
      <c r="U30" s="3"/>
      <c r="V30" s="3"/>
    </row>
    <row r="31" spans="1:22" s="379" customFormat="1" ht="12.75">
      <c r="A31" s="377">
        <f>+A29+1</f>
        <v>8</v>
      </c>
      <c r="B31" s="385" t="s">
        <v>505</v>
      </c>
      <c r="D31" s="380"/>
      <c r="E31" s="380"/>
      <c r="F31" s="381"/>
      <c r="G31" s="384"/>
      <c r="H31" s="381"/>
      <c r="I31" s="388">
        <f>+I27+I29</f>
        <v>551553751.3039999</v>
      </c>
      <c r="J31" s="388">
        <f>+J27+J29</f>
        <v>549573366.43999994</v>
      </c>
      <c r="K31" s="388">
        <f>+K27+K29</f>
        <v>1980384.8640000001</v>
      </c>
      <c r="N31" s="3"/>
      <c r="O31" s="3"/>
      <c r="P31" s="3"/>
      <c r="Q31" s="3"/>
      <c r="R31" s="3"/>
      <c r="S31" s="3"/>
      <c r="T31" s="3"/>
      <c r="U31" s="3"/>
      <c r="V31" s="3"/>
    </row>
    <row r="32" spans="1:22" s="379" customFormat="1" ht="12.75">
      <c r="A32" s="377"/>
      <c r="B32" s="385"/>
      <c r="D32" s="380"/>
      <c r="E32" s="380"/>
      <c r="F32" s="381"/>
      <c r="G32" s="384"/>
      <c r="H32" s="381"/>
      <c r="I32" s="382"/>
      <c r="J32" s="382"/>
      <c r="K32" s="382"/>
      <c r="N32" s="3"/>
      <c r="O32" s="3"/>
      <c r="P32" s="3"/>
      <c r="Q32" s="3"/>
      <c r="R32" s="3"/>
      <c r="S32" s="3"/>
      <c r="T32" s="3"/>
      <c r="U32" s="3"/>
      <c r="V32" s="3"/>
    </row>
    <row r="33" spans="1:22" s="379" customFormat="1" ht="12.75">
      <c r="A33" s="377">
        <v>9</v>
      </c>
      <c r="B33" s="378" t="s">
        <v>555</v>
      </c>
      <c r="D33" s="380"/>
      <c r="E33" s="380"/>
      <c r="F33" s="381"/>
      <c r="G33" s="384"/>
      <c r="H33" s="381"/>
      <c r="I33" s="382"/>
      <c r="J33" s="382"/>
      <c r="K33" s="393"/>
      <c r="N33" s="3"/>
      <c r="O33" s="3"/>
      <c r="P33" s="3"/>
      <c r="Q33" s="3"/>
      <c r="R33" s="3"/>
      <c r="S33" s="3"/>
      <c r="T33" s="3"/>
      <c r="U33" s="3"/>
      <c r="V33" s="3"/>
    </row>
    <row r="34" spans="1:22" s="379" customFormat="1" ht="12.75">
      <c r="A34" s="377"/>
      <c r="B34" s="385"/>
      <c r="D34" s="380"/>
      <c r="E34" s="380"/>
      <c r="F34" s="381"/>
      <c r="G34" s="384"/>
      <c r="H34" s="381"/>
      <c r="I34" s="382"/>
      <c r="J34" s="382"/>
      <c r="K34" s="382"/>
      <c r="N34" s="3"/>
      <c r="O34" s="3"/>
      <c r="P34" s="3"/>
      <c r="Q34" s="3"/>
      <c r="R34" s="3"/>
      <c r="S34" s="3"/>
      <c r="T34" s="3"/>
      <c r="U34" s="3"/>
      <c r="V34" s="3"/>
    </row>
    <row r="35" spans="1:22" ht="15.75">
      <c r="A35" s="389"/>
      <c r="C35" s="375"/>
      <c r="D35" s="368"/>
      <c r="E35" s="368"/>
      <c r="F35" s="371"/>
      <c r="G35" s="390"/>
      <c r="H35" s="371"/>
      <c r="I35" s="391"/>
      <c r="J35" s="371"/>
      <c r="K35" s="371"/>
      <c r="L35" s="371"/>
      <c r="M35" s="391"/>
      <c r="N35" s="133"/>
      <c r="O35" s="16"/>
      <c r="P35" s="16"/>
      <c r="Q35" s="16"/>
      <c r="R35" s="16"/>
      <c r="S35" s="133"/>
      <c r="T35" s="133"/>
      <c r="U35" s="133"/>
      <c r="V35" s="133"/>
    </row>
    <row r="36" spans="1:22" s="379" customFormat="1" ht="12.75" customHeight="1">
      <c r="A36" s="41" t="s">
        <v>295</v>
      </c>
      <c r="B36" s="1198"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AEP Indiana Michigan Transmission Company's general ledger. The functional amounts identified as transmission revenue also come from the general ledger. </v>
      </c>
      <c r="C36" s="1198"/>
      <c r="D36" s="1198"/>
      <c r="E36" s="1198"/>
      <c r="F36" s="1198"/>
      <c r="G36" s="1198"/>
      <c r="H36" s="1198"/>
      <c r="I36" s="1198"/>
      <c r="J36" s="1198"/>
      <c r="K36" s="3"/>
      <c r="L36" s="3"/>
      <c r="M36" s="3"/>
      <c r="N36" s="3"/>
      <c r="O36" s="3"/>
      <c r="P36" s="3"/>
      <c r="Q36" s="3"/>
      <c r="R36" s="3"/>
      <c r="S36" s="3"/>
      <c r="T36" s="47"/>
      <c r="U36" s="3"/>
      <c r="V36" s="3"/>
    </row>
    <row r="37" spans="1:22" s="379" customFormat="1" ht="12.75">
      <c r="A37" s="3"/>
      <c r="B37" s="1198"/>
      <c r="C37" s="1198"/>
      <c r="D37" s="1198"/>
      <c r="E37" s="1198"/>
      <c r="F37" s="1198"/>
      <c r="G37" s="1198"/>
      <c r="H37" s="1198"/>
      <c r="I37" s="1198"/>
      <c r="J37" s="1198"/>
      <c r="K37" s="3"/>
      <c r="L37" s="3"/>
      <c r="M37" s="70"/>
      <c r="N37" s="70"/>
      <c r="O37" s="70"/>
      <c r="P37" s="70"/>
      <c r="Q37" s="70"/>
      <c r="R37" s="3"/>
      <c r="S37" s="3"/>
      <c r="T37" s="3"/>
      <c r="U37" s="3"/>
      <c r="V37" s="3"/>
    </row>
    <row r="38" spans="1:22" s="379" customFormat="1" ht="12.75">
      <c r="A38" s="3" t="s">
        <v>629</v>
      </c>
      <c r="B38" s="914" t="s">
        <v>630</v>
      </c>
      <c r="C38" s="733"/>
      <c r="D38" s="733"/>
      <c r="E38" s="733"/>
      <c r="F38" s="733"/>
      <c r="G38" s="733"/>
      <c r="H38" s="733"/>
      <c r="I38" s="733"/>
      <c r="J38" s="733"/>
      <c r="K38" s="70"/>
      <c r="L38" s="3"/>
      <c r="M38" s="70"/>
      <c r="N38" s="70"/>
      <c r="O38" s="70"/>
      <c r="P38" s="70"/>
      <c r="Q38" s="70"/>
      <c r="R38" s="3"/>
      <c r="S38" s="3"/>
      <c r="T38" s="3"/>
      <c r="U38" s="3"/>
      <c r="V38" s="3"/>
    </row>
    <row r="39" spans="1:22" ht="15.75">
      <c r="A39" s="133"/>
      <c r="B39" s="133"/>
      <c r="E39" s="392"/>
      <c r="F39" s="392"/>
      <c r="G39" s="392"/>
      <c r="H39" s="392"/>
      <c r="I39" s="392"/>
      <c r="J39" s="392"/>
      <c r="K39" s="392"/>
      <c r="L39" s="133"/>
      <c r="M39" s="392"/>
      <c r="N39" s="392"/>
      <c r="O39" s="392"/>
      <c r="P39" s="392"/>
      <c r="Q39" s="392"/>
      <c r="R39" s="133"/>
      <c r="S39" s="133"/>
      <c r="T39" s="133"/>
      <c r="U39" s="133"/>
      <c r="V39" s="133"/>
    </row>
    <row r="40" spans="1:22" ht="15.75">
      <c r="A40" s="133"/>
      <c r="B40" s="133"/>
      <c r="E40" s="392"/>
      <c r="F40" s="392"/>
      <c r="G40" s="392"/>
      <c r="H40" s="392"/>
      <c r="I40" s="392"/>
      <c r="J40" s="392"/>
      <c r="K40" s="392"/>
      <c r="L40" s="133"/>
      <c r="M40" s="392"/>
      <c r="N40" s="392"/>
      <c r="O40" s="392"/>
      <c r="P40" s="392"/>
      <c r="Q40" s="392"/>
      <c r="R40" s="133"/>
      <c r="S40" s="133"/>
      <c r="T40" s="133"/>
      <c r="U40" s="133"/>
      <c r="V40" s="133"/>
    </row>
    <row r="41" spans="1:22" ht="15.75">
      <c r="A41" s="133"/>
      <c r="B41" s="133"/>
      <c r="E41" s="392"/>
      <c r="F41" s="392"/>
      <c r="G41" s="392"/>
      <c r="H41" s="392"/>
      <c r="I41" s="392"/>
      <c r="J41" s="392"/>
      <c r="K41" s="392"/>
      <c r="L41" s="133"/>
      <c r="M41" s="392"/>
      <c r="N41" s="392"/>
      <c r="O41" s="392"/>
      <c r="P41" s="392"/>
      <c r="Q41" s="392"/>
      <c r="R41" s="133"/>
      <c r="S41" s="133"/>
      <c r="T41" s="133"/>
      <c r="U41" s="133"/>
      <c r="V41" s="133"/>
    </row>
    <row r="42" spans="1:22" ht="15.75">
      <c r="A42" s="133"/>
      <c r="B42" s="133"/>
      <c r="E42" s="392"/>
      <c r="F42" s="392"/>
      <c r="G42" s="392"/>
      <c r="H42" s="392"/>
      <c r="I42" s="392"/>
      <c r="J42" s="392"/>
      <c r="K42" s="392"/>
      <c r="L42" s="133"/>
      <c r="M42" s="392"/>
      <c r="N42" s="392"/>
      <c r="O42" s="392"/>
      <c r="P42" s="392"/>
      <c r="Q42" s="392"/>
      <c r="R42" s="133"/>
      <c r="S42" s="133"/>
      <c r="T42" s="133"/>
      <c r="U42" s="133"/>
      <c r="V42" s="133"/>
    </row>
    <row r="43" spans="1:22" ht="15.75">
      <c r="A43" s="133"/>
      <c r="B43" s="133"/>
      <c r="E43" s="392"/>
      <c r="F43" s="392"/>
      <c r="G43" s="392"/>
      <c r="H43" s="392"/>
      <c r="I43" s="392"/>
      <c r="J43" s="392"/>
      <c r="K43" s="392"/>
      <c r="L43" s="133"/>
      <c r="M43" s="392"/>
      <c r="N43" s="392"/>
      <c r="O43" s="392"/>
      <c r="P43" s="392"/>
      <c r="Q43" s="392"/>
      <c r="R43" s="133"/>
      <c r="S43" s="133"/>
      <c r="T43" s="133"/>
      <c r="U43" s="133"/>
      <c r="V43" s="133"/>
    </row>
    <row r="44" spans="1:22" ht="15.75">
      <c r="A44" s="133"/>
      <c r="B44" s="133"/>
      <c r="E44" s="392"/>
      <c r="F44" s="392"/>
      <c r="G44" s="392"/>
      <c r="H44" s="392"/>
      <c r="I44" s="392"/>
      <c r="J44" s="392"/>
      <c r="K44" s="392"/>
      <c r="L44" s="133"/>
      <c r="M44" s="392"/>
      <c r="N44" s="392"/>
      <c r="O44" s="392"/>
      <c r="P44" s="392"/>
      <c r="Q44" s="392"/>
      <c r="R44" s="133"/>
      <c r="S44" s="133"/>
      <c r="T44" s="133"/>
      <c r="U44" s="133"/>
      <c r="V44" s="133"/>
    </row>
    <row r="45" spans="1:22" ht="15.75">
      <c r="A45" s="133"/>
      <c r="B45" s="133"/>
      <c r="E45" s="392"/>
      <c r="F45" s="392"/>
      <c r="G45" s="392"/>
      <c r="H45" s="392"/>
      <c r="I45" s="392"/>
      <c r="J45" s="392"/>
      <c r="K45" s="392"/>
      <c r="L45" s="133"/>
      <c r="M45" s="392"/>
      <c r="N45" s="392"/>
      <c r="O45" s="392"/>
      <c r="P45" s="392"/>
      <c r="Q45" s="392"/>
      <c r="R45" s="133"/>
      <c r="S45" s="133"/>
      <c r="T45" s="133"/>
      <c r="U45" s="133"/>
      <c r="V45" s="133"/>
    </row>
    <row r="46" spans="1:22" ht="15.75">
      <c r="A46" s="133"/>
      <c r="B46" s="133"/>
      <c r="E46" s="392"/>
      <c r="F46" s="392"/>
      <c r="G46" s="392"/>
      <c r="H46" s="392"/>
      <c r="I46" s="392"/>
      <c r="J46" s="392"/>
      <c r="K46" s="392"/>
      <c r="L46" s="133"/>
      <c r="M46" s="392"/>
      <c r="N46" s="392"/>
      <c r="O46" s="392"/>
      <c r="P46" s="392"/>
      <c r="Q46" s="392"/>
      <c r="R46" s="133"/>
      <c r="S46" s="133"/>
      <c r="T46" s="133"/>
      <c r="U46" s="133"/>
      <c r="V46" s="133"/>
    </row>
    <row r="47" spans="1:22" ht="15.75">
      <c r="A47" s="133"/>
      <c r="B47" s="133"/>
      <c r="E47" s="392"/>
      <c r="F47" s="392"/>
      <c r="G47" s="392"/>
      <c r="H47" s="392"/>
      <c r="I47" s="392"/>
      <c r="J47" s="392"/>
      <c r="K47" s="392"/>
      <c r="L47" s="133"/>
      <c r="M47" s="392"/>
      <c r="N47" s="392"/>
      <c r="O47" s="392"/>
      <c r="P47" s="392"/>
      <c r="Q47" s="392"/>
      <c r="R47" s="133"/>
      <c r="S47" s="133"/>
      <c r="T47" s="133"/>
      <c r="U47" s="133"/>
      <c r="V47" s="133"/>
    </row>
    <row r="48" spans="1:22" ht="15.75">
      <c r="A48" s="133"/>
      <c r="B48" s="133"/>
      <c r="E48" s="392"/>
      <c r="F48" s="392"/>
      <c r="G48" s="392"/>
      <c r="H48" s="392"/>
      <c r="I48" s="392"/>
      <c r="J48" s="392"/>
      <c r="K48" s="392"/>
      <c r="L48" s="133"/>
      <c r="M48" s="392"/>
      <c r="N48" s="392"/>
      <c r="O48" s="392"/>
      <c r="P48" s="392"/>
      <c r="Q48" s="392"/>
      <c r="R48" s="133"/>
      <c r="S48" s="133"/>
      <c r="T48" s="133"/>
      <c r="U48" s="133"/>
      <c r="V48" s="133"/>
    </row>
    <row r="49" spans="1:22" ht="15.75">
      <c r="I49" s="392"/>
      <c r="J49" s="392"/>
      <c r="K49" s="392"/>
      <c r="L49" s="133"/>
      <c r="M49" s="392"/>
      <c r="N49" s="392"/>
      <c r="O49" s="392"/>
      <c r="P49" s="392"/>
      <c r="Q49" s="392"/>
      <c r="R49" s="133"/>
      <c r="S49" s="133"/>
      <c r="T49" s="133"/>
      <c r="U49" s="133"/>
      <c r="V49" s="133"/>
    </row>
    <row r="50" spans="1:22" ht="15.75">
      <c r="A50" s="133"/>
      <c r="B50" s="133"/>
      <c r="E50" s="392"/>
      <c r="F50" s="392"/>
      <c r="G50" s="392"/>
      <c r="H50" s="392"/>
      <c r="I50" s="392"/>
      <c r="J50" s="392"/>
      <c r="K50" s="392"/>
      <c r="L50" s="133"/>
      <c r="M50" s="392"/>
      <c r="N50" s="392"/>
      <c r="O50" s="392"/>
      <c r="P50" s="392"/>
      <c r="Q50" s="392"/>
      <c r="R50" s="133"/>
      <c r="S50" s="133"/>
      <c r="T50" s="133"/>
      <c r="U50" s="133"/>
      <c r="V50" s="133"/>
    </row>
    <row r="51" spans="1:22" ht="15.75">
      <c r="A51" s="133"/>
      <c r="B51" s="133"/>
      <c r="E51" s="392"/>
      <c r="F51" s="392"/>
      <c r="G51" s="392"/>
      <c r="H51" s="392"/>
      <c r="I51" s="392"/>
      <c r="J51" s="392"/>
      <c r="K51" s="392"/>
      <c r="L51" s="133"/>
      <c r="M51" s="392"/>
      <c r="N51" s="392"/>
      <c r="O51" s="392"/>
      <c r="P51" s="392"/>
      <c r="Q51" s="392"/>
      <c r="R51" s="133"/>
      <c r="S51" s="133"/>
      <c r="T51" s="133"/>
      <c r="U51" s="133"/>
      <c r="V51" s="133"/>
    </row>
    <row r="52" spans="1:22" ht="15.75">
      <c r="A52" s="133"/>
      <c r="B52" s="133"/>
      <c r="E52" s="392"/>
      <c r="F52" s="392"/>
      <c r="G52" s="392"/>
      <c r="H52" s="392"/>
      <c r="I52" s="392"/>
      <c r="J52" s="392"/>
      <c r="K52" s="392"/>
      <c r="L52" s="133"/>
      <c r="M52" s="392"/>
      <c r="N52" s="392"/>
      <c r="O52" s="392"/>
      <c r="P52" s="392"/>
      <c r="Q52" s="392"/>
      <c r="R52" s="133"/>
      <c r="S52" s="133"/>
      <c r="T52" s="133"/>
      <c r="U52" s="133"/>
      <c r="V52" s="133"/>
    </row>
    <row r="53" spans="1:22" ht="15.75">
      <c r="A53" s="133"/>
      <c r="B53" s="133"/>
      <c r="E53" s="392"/>
      <c r="F53" s="392"/>
      <c r="G53" s="392"/>
      <c r="H53" s="392"/>
      <c r="I53" s="392"/>
      <c r="J53" s="392"/>
      <c r="K53" s="392"/>
      <c r="L53" s="133"/>
      <c r="M53" s="392"/>
      <c r="N53" s="392"/>
      <c r="O53" s="392"/>
      <c r="P53" s="392"/>
      <c r="Q53" s="392"/>
      <c r="R53" s="133"/>
      <c r="S53" s="133"/>
      <c r="T53" s="133"/>
      <c r="U53" s="133"/>
      <c r="V53" s="133"/>
    </row>
    <row r="54" spans="1:22" ht="15.75">
      <c r="A54" s="133"/>
      <c r="B54" s="133"/>
      <c r="E54" s="392"/>
      <c r="F54" s="392"/>
      <c r="G54" s="392"/>
      <c r="H54" s="392"/>
      <c r="I54" s="392"/>
      <c r="J54" s="392"/>
      <c r="K54" s="392"/>
      <c r="L54" s="133"/>
      <c r="M54" s="392"/>
      <c r="N54" s="392"/>
      <c r="O54" s="392"/>
      <c r="P54" s="392"/>
      <c r="Q54" s="392"/>
      <c r="R54" s="133"/>
      <c r="S54" s="133"/>
      <c r="T54" s="133"/>
      <c r="U54" s="133"/>
      <c r="V54" s="133"/>
    </row>
    <row r="55" spans="1:22" ht="15.75">
      <c r="A55" s="133"/>
      <c r="B55" s="133"/>
      <c r="E55" s="392"/>
      <c r="F55" s="392"/>
      <c r="G55" s="392"/>
      <c r="H55" s="392"/>
      <c r="I55" s="392"/>
      <c r="J55" s="392"/>
      <c r="K55" s="392"/>
      <c r="L55" s="133"/>
      <c r="M55" s="392"/>
      <c r="N55" s="392"/>
      <c r="O55" s="392"/>
      <c r="P55" s="392"/>
      <c r="Q55" s="392"/>
      <c r="R55" s="133"/>
      <c r="S55" s="133"/>
      <c r="T55" s="133"/>
      <c r="U55" s="133"/>
      <c r="V55" s="133"/>
    </row>
    <row r="56" spans="1:22" ht="15.75">
      <c r="A56" s="133"/>
      <c r="B56" s="133"/>
      <c r="E56" s="392"/>
      <c r="F56" s="392"/>
      <c r="G56" s="392"/>
      <c r="H56" s="392"/>
      <c r="I56" s="392"/>
      <c r="J56" s="392"/>
      <c r="K56" s="392"/>
      <c r="L56" s="133"/>
      <c r="M56" s="392"/>
      <c r="N56" s="392"/>
      <c r="O56" s="392"/>
      <c r="P56" s="392"/>
      <c r="Q56" s="392"/>
      <c r="R56" s="133"/>
      <c r="S56" s="133"/>
      <c r="T56" s="133"/>
      <c r="U56" s="133"/>
      <c r="V56" s="133"/>
    </row>
    <row r="57" spans="1:22" ht="15.75">
      <c r="A57" s="133"/>
      <c r="B57" s="133"/>
      <c r="E57" s="392"/>
      <c r="F57" s="392"/>
      <c r="G57" s="392"/>
      <c r="H57" s="392"/>
      <c r="I57" s="392"/>
      <c r="J57" s="392"/>
      <c r="K57" s="392"/>
      <c r="L57" s="133"/>
      <c r="M57" s="392"/>
      <c r="N57" s="392"/>
      <c r="O57" s="392"/>
      <c r="P57" s="392"/>
      <c r="Q57" s="392"/>
      <c r="R57" s="133"/>
      <c r="S57" s="133"/>
      <c r="T57" s="133"/>
      <c r="U57" s="133"/>
      <c r="V57" s="133"/>
    </row>
    <row r="58" spans="1:22" ht="15.75">
      <c r="A58" s="133"/>
      <c r="B58" s="133"/>
      <c r="E58" s="392"/>
      <c r="F58" s="392"/>
      <c r="G58" s="392"/>
      <c r="H58" s="392"/>
      <c r="I58" s="392"/>
      <c r="J58" s="392"/>
      <c r="K58" s="392"/>
      <c r="L58" s="133"/>
      <c r="M58" s="392"/>
      <c r="N58" s="392"/>
      <c r="O58" s="392"/>
      <c r="P58" s="392"/>
      <c r="Q58" s="392"/>
      <c r="R58" s="133"/>
      <c r="S58" s="133"/>
      <c r="T58" s="133"/>
      <c r="U58" s="133"/>
      <c r="V58" s="133"/>
    </row>
    <row r="59" spans="1:22" ht="15.75">
      <c r="A59" s="133"/>
      <c r="B59" s="133"/>
      <c r="E59" s="392"/>
      <c r="F59" s="392"/>
      <c r="G59" s="392"/>
      <c r="H59" s="392"/>
      <c r="I59" s="392"/>
      <c r="J59" s="392"/>
      <c r="K59" s="392"/>
      <c r="L59" s="133"/>
      <c r="M59" s="392"/>
      <c r="N59" s="392"/>
      <c r="O59" s="392"/>
      <c r="P59" s="392"/>
      <c r="Q59" s="392"/>
      <c r="R59" s="133"/>
      <c r="S59" s="133"/>
      <c r="T59" s="133"/>
      <c r="U59" s="133"/>
      <c r="V59" s="133"/>
    </row>
    <row r="60" spans="1:22" ht="15.75">
      <c r="A60" s="133"/>
      <c r="B60" s="133"/>
      <c r="E60" s="392"/>
      <c r="F60" s="392"/>
      <c r="G60" s="392"/>
      <c r="H60" s="392"/>
      <c r="I60" s="392"/>
      <c r="J60" s="392"/>
      <c r="K60" s="392"/>
      <c r="L60" s="133"/>
      <c r="M60" s="392"/>
      <c r="N60" s="392"/>
      <c r="O60" s="392"/>
      <c r="P60" s="392"/>
      <c r="Q60" s="392"/>
      <c r="R60" s="133"/>
      <c r="S60" s="133"/>
      <c r="T60" s="133"/>
      <c r="U60" s="133"/>
      <c r="V60" s="133"/>
    </row>
    <row r="61" spans="1:22" ht="15.75">
      <c r="A61" s="133"/>
      <c r="B61" s="133"/>
      <c r="E61" s="392"/>
      <c r="F61" s="392"/>
      <c r="G61" s="392"/>
      <c r="H61" s="392"/>
      <c r="I61" s="392"/>
      <c r="J61" s="392"/>
      <c r="K61" s="392"/>
      <c r="L61" s="133"/>
      <c r="M61" s="392"/>
      <c r="N61" s="392"/>
      <c r="O61" s="392"/>
      <c r="P61" s="392"/>
      <c r="Q61" s="392"/>
      <c r="R61" s="133"/>
      <c r="S61" s="133"/>
      <c r="T61" s="133"/>
      <c r="U61" s="133"/>
      <c r="V61" s="133"/>
    </row>
    <row r="62" spans="1:22" ht="15.75">
      <c r="A62" s="133"/>
      <c r="B62" s="133"/>
      <c r="E62" s="392"/>
      <c r="F62" s="392"/>
      <c r="G62" s="392"/>
      <c r="H62" s="392"/>
      <c r="I62" s="392"/>
      <c r="J62" s="392"/>
      <c r="K62" s="392"/>
      <c r="L62" s="133"/>
      <c r="M62" s="392"/>
      <c r="N62" s="392"/>
      <c r="O62" s="392"/>
      <c r="P62" s="392"/>
      <c r="Q62" s="392"/>
      <c r="R62" s="133"/>
      <c r="S62" s="133"/>
      <c r="T62" s="133"/>
      <c r="U62" s="133"/>
      <c r="V62" s="133"/>
    </row>
    <row r="63" spans="1:22" ht="15.75">
      <c r="A63" s="133"/>
      <c r="B63" s="133"/>
      <c r="E63" s="392"/>
      <c r="F63" s="392"/>
      <c r="G63" s="392"/>
      <c r="H63" s="392"/>
      <c r="I63" s="392"/>
      <c r="J63" s="392"/>
      <c r="K63" s="392"/>
      <c r="L63" s="133"/>
      <c r="M63" s="392"/>
      <c r="N63" s="392"/>
      <c r="O63" s="392"/>
      <c r="P63" s="392"/>
      <c r="Q63" s="392"/>
      <c r="R63" s="133"/>
      <c r="S63" s="133"/>
      <c r="T63" s="133"/>
      <c r="U63" s="133"/>
      <c r="V63" s="133"/>
    </row>
    <row r="64" spans="1:22" ht="15.75">
      <c r="A64" s="133"/>
      <c r="B64" s="133"/>
      <c r="E64" s="392"/>
      <c r="F64" s="392"/>
      <c r="G64" s="392"/>
      <c r="H64" s="392"/>
      <c r="I64" s="392"/>
      <c r="J64" s="392"/>
      <c r="K64" s="392"/>
      <c r="L64" s="133"/>
      <c r="M64" s="392"/>
      <c r="N64" s="392"/>
      <c r="O64" s="392"/>
      <c r="P64" s="392"/>
      <c r="Q64" s="392"/>
      <c r="R64" s="133"/>
      <c r="S64" s="133"/>
      <c r="T64" s="133"/>
      <c r="U64" s="133"/>
      <c r="V64" s="133"/>
    </row>
    <row r="65" spans="1:22" ht="15.75">
      <c r="A65" s="133"/>
      <c r="B65" s="133"/>
      <c r="E65" s="392"/>
      <c r="F65" s="392"/>
      <c r="G65" s="392"/>
      <c r="H65" s="392"/>
      <c r="I65" s="392"/>
      <c r="J65" s="392"/>
      <c r="K65" s="392"/>
      <c r="L65" s="133"/>
      <c r="M65" s="392"/>
      <c r="N65" s="392"/>
      <c r="O65" s="392"/>
      <c r="P65" s="392"/>
      <c r="Q65" s="392"/>
      <c r="R65" s="133"/>
      <c r="S65" s="133"/>
      <c r="T65" s="133"/>
      <c r="U65" s="133"/>
      <c r="V65" s="133"/>
    </row>
    <row r="66" spans="1:22" ht="15.75">
      <c r="A66" s="133"/>
      <c r="B66" s="133"/>
      <c r="E66" s="392"/>
      <c r="F66" s="392"/>
      <c r="G66" s="392"/>
      <c r="H66" s="392"/>
      <c r="I66" s="392"/>
      <c r="J66" s="392"/>
      <c r="K66" s="392"/>
      <c r="L66" s="133"/>
      <c r="M66" s="392"/>
      <c r="N66" s="392"/>
      <c r="O66" s="392"/>
      <c r="P66" s="392"/>
      <c r="Q66" s="392"/>
      <c r="R66" s="133"/>
      <c r="S66" s="133"/>
      <c r="T66" s="133"/>
      <c r="U66" s="133"/>
      <c r="V66" s="133"/>
    </row>
    <row r="67" spans="1:22" ht="15.75">
      <c r="A67" s="133"/>
      <c r="B67" s="133"/>
      <c r="E67" s="392"/>
      <c r="F67" s="392"/>
      <c r="G67" s="392"/>
      <c r="H67" s="392"/>
      <c r="I67" s="392"/>
      <c r="J67" s="392"/>
      <c r="K67" s="392"/>
      <c r="L67" s="133"/>
      <c r="M67" s="392"/>
      <c r="N67" s="392"/>
      <c r="O67" s="392"/>
      <c r="P67" s="392"/>
      <c r="Q67" s="392"/>
      <c r="R67" s="133"/>
      <c r="S67" s="133"/>
      <c r="T67" s="133"/>
      <c r="U67" s="133"/>
      <c r="V67" s="133"/>
    </row>
    <row r="68" spans="1:22" ht="15.75">
      <c r="A68" s="133"/>
      <c r="B68" s="133"/>
      <c r="E68" s="392"/>
      <c r="F68" s="392"/>
      <c r="G68" s="392"/>
      <c r="H68" s="392"/>
      <c r="I68" s="392"/>
      <c r="J68" s="392"/>
      <c r="K68" s="392"/>
      <c r="L68" s="133"/>
      <c r="M68" s="392"/>
      <c r="N68" s="392"/>
      <c r="O68" s="392"/>
      <c r="P68" s="392"/>
      <c r="Q68" s="392"/>
      <c r="R68" s="133"/>
      <c r="S68" s="133"/>
      <c r="T68" s="133"/>
      <c r="U68" s="133"/>
      <c r="V68" s="133"/>
    </row>
    <row r="69" spans="1:22" ht="15.75">
      <c r="A69" s="133"/>
      <c r="B69" s="133"/>
      <c r="E69" s="392"/>
      <c r="F69" s="392"/>
      <c r="G69" s="392"/>
      <c r="H69" s="392"/>
      <c r="I69" s="392"/>
      <c r="J69" s="392"/>
      <c r="K69" s="392"/>
      <c r="L69" s="133"/>
      <c r="M69" s="392"/>
      <c r="N69" s="392"/>
      <c r="O69" s="392"/>
      <c r="P69" s="392"/>
      <c r="Q69" s="392"/>
      <c r="R69" s="133"/>
      <c r="S69" s="133"/>
      <c r="T69" s="133"/>
      <c r="U69" s="133"/>
      <c r="V69" s="133"/>
    </row>
    <row r="70" spans="1:22" ht="15.75">
      <c r="A70" s="133"/>
      <c r="B70" s="133"/>
      <c r="E70" s="392"/>
      <c r="F70" s="392"/>
      <c r="G70" s="392"/>
      <c r="H70" s="392"/>
      <c r="I70" s="392"/>
      <c r="J70" s="392"/>
      <c r="K70" s="392"/>
      <c r="L70" s="133"/>
      <c r="M70" s="392"/>
      <c r="N70" s="392"/>
      <c r="O70" s="392"/>
      <c r="P70" s="392"/>
      <c r="Q70" s="392"/>
      <c r="R70" s="133"/>
      <c r="S70" s="133"/>
      <c r="T70" s="133"/>
      <c r="U70" s="133"/>
      <c r="V70" s="133"/>
    </row>
    <row r="71" spans="1:22" ht="15.75">
      <c r="A71" s="133"/>
      <c r="B71" s="133"/>
      <c r="E71" s="392"/>
      <c r="F71" s="392"/>
      <c r="G71" s="392"/>
      <c r="H71" s="392"/>
      <c r="I71" s="392"/>
      <c r="J71" s="392"/>
      <c r="K71" s="392"/>
      <c r="L71" s="133"/>
      <c r="M71" s="392"/>
      <c r="N71" s="392"/>
      <c r="O71" s="392"/>
      <c r="P71" s="392"/>
      <c r="Q71" s="392"/>
      <c r="R71" s="133"/>
      <c r="S71" s="133"/>
      <c r="T71" s="133"/>
      <c r="U71" s="133"/>
      <c r="V71" s="133"/>
    </row>
    <row r="72" spans="1:22" ht="15.75">
      <c r="A72" s="133"/>
      <c r="B72" s="133"/>
      <c r="E72" s="392"/>
      <c r="F72" s="392"/>
      <c r="G72" s="392"/>
      <c r="H72" s="392"/>
      <c r="I72" s="392"/>
      <c r="J72" s="392"/>
      <c r="K72" s="392"/>
      <c r="L72" s="133"/>
      <c r="M72" s="392"/>
      <c r="N72" s="392"/>
      <c r="O72" s="392"/>
      <c r="P72" s="392"/>
      <c r="Q72" s="392"/>
      <c r="R72" s="133"/>
      <c r="S72" s="133"/>
      <c r="T72" s="133"/>
      <c r="U72" s="133"/>
      <c r="V72" s="133"/>
    </row>
    <row r="73" spans="1:22" ht="15.75">
      <c r="A73" s="133"/>
      <c r="B73" s="133"/>
      <c r="E73" s="392"/>
      <c r="F73" s="392"/>
      <c r="G73" s="392"/>
      <c r="H73" s="392"/>
      <c r="I73" s="392"/>
      <c r="J73" s="392"/>
      <c r="K73" s="392"/>
      <c r="L73" s="133"/>
      <c r="M73" s="392"/>
      <c r="N73" s="392"/>
      <c r="O73" s="392"/>
      <c r="P73" s="392"/>
      <c r="Q73" s="392"/>
      <c r="R73" s="133"/>
      <c r="S73" s="133"/>
      <c r="T73" s="133"/>
      <c r="U73" s="133"/>
      <c r="V73" s="133"/>
    </row>
    <row r="74" spans="1:22" ht="15.75">
      <c r="A74" s="133"/>
      <c r="B74" s="133"/>
      <c r="E74" s="392"/>
      <c r="F74" s="392"/>
      <c r="G74" s="392"/>
      <c r="H74" s="392"/>
      <c r="I74" s="392"/>
      <c r="J74" s="392"/>
      <c r="K74" s="392"/>
      <c r="L74" s="133"/>
      <c r="M74" s="392"/>
      <c r="N74" s="392"/>
      <c r="O74" s="392"/>
      <c r="P74" s="392"/>
      <c r="Q74" s="392"/>
      <c r="R74" s="133"/>
      <c r="S74" s="133"/>
      <c r="T74" s="133"/>
      <c r="U74" s="133"/>
      <c r="V74" s="133"/>
    </row>
    <row r="75" spans="1:22" ht="15.75">
      <c r="A75" s="133"/>
      <c r="B75" s="133"/>
      <c r="E75" s="392"/>
      <c r="F75" s="392"/>
      <c r="G75" s="392"/>
      <c r="H75" s="392"/>
      <c r="I75" s="392"/>
      <c r="J75" s="392"/>
      <c r="K75" s="392"/>
      <c r="L75" s="133"/>
      <c r="M75" s="392"/>
      <c r="N75" s="392"/>
      <c r="O75" s="392"/>
      <c r="P75" s="392"/>
      <c r="Q75" s="392"/>
      <c r="R75" s="133"/>
      <c r="S75" s="133"/>
      <c r="T75" s="133"/>
      <c r="U75" s="133"/>
      <c r="V75" s="133"/>
    </row>
    <row r="76" spans="1:22" ht="15.75">
      <c r="A76" s="133"/>
      <c r="B76" s="133"/>
      <c r="E76" s="392"/>
      <c r="F76" s="392"/>
      <c r="G76" s="392"/>
      <c r="H76" s="392"/>
      <c r="I76" s="392"/>
      <c r="J76" s="392"/>
      <c r="K76" s="392"/>
      <c r="L76" s="133"/>
      <c r="M76" s="392"/>
      <c r="N76" s="392"/>
      <c r="O76" s="392"/>
      <c r="P76" s="392"/>
      <c r="Q76" s="392"/>
      <c r="R76" s="133"/>
      <c r="S76" s="133"/>
      <c r="T76" s="133"/>
      <c r="U76" s="133"/>
      <c r="V76" s="133"/>
    </row>
    <row r="77" spans="1:22" ht="15.75">
      <c r="A77" s="133"/>
      <c r="B77" s="133"/>
      <c r="E77" s="392"/>
      <c r="F77" s="392"/>
      <c r="G77" s="392"/>
      <c r="H77" s="392"/>
      <c r="I77" s="392"/>
      <c r="J77" s="392"/>
      <c r="K77" s="392"/>
      <c r="L77" s="133"/>
      <c r="M77" s="392"/>
      <c r="N77" s="392"/>
      <c r="O77" s="392"/>
      <c r="P77" s="392"/>
      <c r="Q77" s="392"/>
      <c r="R77" s="133"/>
      <c r="S77" s="133"/>
      <c r="T77" s="133"/>
      <c r="U77" s="133"/>
      <c r="V77" s="133"/>
    </row>
    <row r="78" spans="1:22" ht="15.75">
      <c r="A78" s="133"/>
      <c r="B78" s="133"/>
      <c r="E78" s="392"/>
      <c r="F78" s="392"/>
      <c r="G78" s="392"/>
      <c r="H78" s="392"/>
      <c r="I78" s="392"/>
      <c r="J78" s="392"/>
      <c r="K78" s="392"/>
      <c r="L78" s="133"/>
      <c r="M78" s="392"/>
      <c r="N78" s="392"/>
      <c r="O78" s="392"/>
      <c r="P78" s="392"/>
      <c r="Q78" s="392"/>
      <c r="R78" s="133"/>
      <c r="S78" s="133"/>
      <c r="T78" s="133"/>
      <c r="U78" s="133"/>
      <c r="V78" s="133"/>
    </row>
    <row r="79" spans="1:22" ht="15.75">
      <c r="A79" s="133"/>
      <c r="B79" s="133"/>
      <c r="E79" s="392"/>
      <c r="F79" s="392"/>
      <c r="G79" s="392"/>
      <c r="H79" s="392"/>
      <c r="I79" s="392"/>
      <c r="J79" s="392"/>
      <c r="K79" s="392"/>
      <c r="L79" s="133"/>
      <c r="M79" s="392"/>
      <c r="N79" s="392"/>
      <c r="O79" s="392"/>
      <c r="P79" s="392"/>
      <c r="Q79" s="392"/>
      <c r="R79" s="133"/>
      <c r="S79" s="133"/>
      <c r="T79" s="133"/>
      <c r="U79" s="133"/>
      <c r="V79" s="133"/>
    </row>
    <row r="80" spans="1:22" ht="15.75">
      <c r="A80" s="133"/>
      <c r="B80" s="133"/>
      <c r="E80" s="392"/>
      <c r="F80" s="392"/>
      <c r="G80" s="392"/>
      <c r="H80" s="392"/>
      <c r="I80" s="392"/>
      <c r="J80" s="392"/>
      <c r="K80" s="392"/>
      <c r="L80" s="133"/>
      <c r="M80" s="392"/>
      <c r="N80" s="392"/>
      <c r="O80" s="392"/>
      <c r="P80" s="392"/>
      <c r="Q80" s="392"/>
      <c r="R80" s="133"/>
      <c r="S80" s="133"/>
      <c r="T80" s="133"/>
      <c r="U80" s="133"/>
      <c r="V80" s="133"/>
    </row>
    <row r="81" spans="1:22" ht="15.75">
      <c r="A81" s="133"/>
      <c r="B81" s="133"/>
      <c r="E81" s="392"/>
      <c r="F81" s="392"/>
      <c r="G81" s="392"/>
      <c r="H81" s="392"/>
      <c r="I81" s="392"/>
      <c r="J81" s="392"/>
      <c r="K81" s="392"/>
      <c r="L81" s="133"/>
      <c r="M81" s="392"/>
      <c r="N81" s="392"/>
      <c r="O81" s="392"/>
      <c r="P81" s="392"/>
      <c r="Q81" s="392"/>
      <c r="R81" s="133"/>
      <c r="S81" s="133"/>
      <c r="T81" s="133"/>
      <c r="U81" s="133"/>
      <c r="V81" s="133"/>
    </row>
    <row r="82" spans="1:22" ht="15.75">
      <c r="A82" s="133"/>
      <c r="B82" s="133"/>
      <c r="E82" s="392"/>
      <c r="F82" s="392"/>
      <c r="G82" s="392"/>
      <c r="H82" s="392"/>
      <c r="I82" s="392"/>
      <c r="J82" s="392"/>
      <c r="K82" s="392"/>
      <c r="L82" s="133"/>
      <c r="M82" s="392"/>
      <c r="N82" s="392"/>
      <c r="O82" s="392"/>
      <c r="P82" s="392"/>
      <c r="Q82" s="392"/>
      <c r="R82" s="133"/>
      <c r="S82" s="133"/>
      <c r="T82" s="133"/>
      <c r="U82" s="133"/>
      <c r="V82" s="133"/>
    </row>
    <row r="83" spans="1:22" ht="15.75">
      <c r="A83" s="133"/>
      <c r="B83" s="133"/>
      <c r="E83" s="392"/>
      <c r="F83" s="392"/>
      <c r="G83" s="392"/>
      <c r="H83" s="392"/>
      <c r="I83" s="392"/>
      <c r="J83" s="392"/>
      <c r="K83" s="392"/>
      <c r="L83" s="133"/>
      <c r="M83" s="392"/>
      <c r="N83" s="392"/>
      <c r="O83" s="392"/>
      <c r="P83" s="392"/>
      <c r="Q83" s="392"/>
      <c r="R83" s="133"/>
      <c r="S83" s="133"/>
      <c r="T83" s="133"/>
      <c r="U83" s="133"/>
      <c r="V83" s="133"/>
    </row>
    <row r="84" spans="1:22" ht="15.75">
      <c r="A84" s="133"/>
      <c r="B84" s="133"/>
      <c r="E84" s="392"/>
      <c r="F84" s="392"/>
      <c r="G84" s="392"/>
      <c r="H84" s="392"/>
      <c r="I84" s="392"/>
      <c r="J84" s="392"/>
      <c r="K84" s="392"/>
      <c r="L84" s="133"/>
      <c r="M84" s="392"/>
      <c r="N84" s="392"/>
      <c r="O84" s="392"/>
      <c r="P84" s="392"/>
      <c r="Q84" s="392"/>
      <c r="R84" s="133"/>
      <c r="S84" s="133"/>
      <c r="T84" s="133"/>
      <c r="U84" s="133"/>
      <c r="V84" s="133"/>
    </row>
    <row r="85" spans="1:22" ht="15.75">
      <c r="A85" s="133"/>
      <c r="B85" s="133"/>
      <c r="E85" s="392"/>
      <c r="F85" s="392"/>
      <c r="G85" s="392"/>
      <c r="H85" s="392"/>
      <c r="I85" s="392"/>
      <c r="J85" s="392"/>
      <c r="K85" s="392"/>
      <c r="L85" s="133"/>
      <c r="M85" s="392"/>
      <c r="N85" s="392"/>
      <c r="O85" s="392"/>
      <c r="P85" s="392"/>
      <c r="Q85" s="392"/>
      <c r="R85" s="133"/>
      <c r="S85" s="133"/>
      <c r="T85" s="133"/>
      <c r="U85" s="133"/>
      <c r="V85" s="133"/>
    </row>
    <row r="86" spans="1:22" ht="15.75">
      <c r="A86" s="133"/>
      <c r="B86" s="133"/>
      <c r="E86" s="392"/>
      <c r="F86" s="392"/>
      <c r="G86" s="392"/>
      <c r="H86" s="392"/>
      <c r="I86" s="392"/>
      <c r="J86" s="392"/>
      <c r="K86" s="392"/>
      <c r="L86" s="133"/>
      <c r="M86" s="392"/>
      <c r="N86" s="392"/>
      <c r="O86" s="392"/>
      <c r="P86" s="392"/>
      <c r="Q86" s="392"/>
      <c r="R86" s="133"/>
      <c r="S86" s="133"/>
      <c r="T86" s="133"/>
      <c r="U86" s="133"/>
      <c r="V86" s="133"/>
    </row>
    <row r="87" spans="1:22" ht="15.75">
      <c r="A87" s="133"/>
      <c r="B87" s="133"/>
      <c r="E87" s="392"/>
      <c r="F87" s="392"/>
      <c r="G87" s="392"/>
      <c r="H87" s="392"/>
      <c r="I87" s="392"/>
      <c r="J87" s="392"/>
      <c r="K87" s="392"/>
      <c r="L87" s="133"/>
      <c r="M87" s="392"/>
      <c r="N87" s="392"/>
      <c r="O87" s="392"/>
      <c r="P87" s="392"/>
      <c r="Q87" s="392"/>
      <c r="R87" s="133"/>
      <c r="S87" s="133"/>
      <c r="T87" s="133"/>
      <c r="U87" s="133"/>
      <c r="V87" s="133"/>
    </row>
    <row r="88" spans="1:22" ht="15.75">
      <c r="A88" s="133"/>
      <c r="B88" s="133"/>
      <c r="E88" s="392"/>
      <c r="F88" s="392"/>
      <c r="G88" s="392"/>
      <c r="H88" s="392"/>
      <c r="I88" s="392"/>
      <c r="J88" s="392"/>
      <c r="K88" s="392"/>
      <c r="L88" s="133"/>
      <c r="M88" s="392"/>
      <c r="N88" s="392"/>
      <c r="O88" s="392"/>
      <c r="P88" s="392"/>
      <c r="Q88" s="392"/>
      <c r="R88" s="133"/>
      <c r="S88" s="133"/>
      <c r="T88" s="133"/>
      <c r="U88" s="133"/>
      <c r="V88" s="133"/>
    </row>
    <row r="89" spans="1:22" ht="15.75">
      <c r="A89" s="133"/>
      <c r="B89" s="133"/>
      <c r="E89" s="392"/>
      <c r="F89" s="392"/>
      <c r="G89" s="392"/>
      <c r="H89" s="392"/>
      <c r="I89" s="392"/>
      <c r="J89" s="392"/>
      <c r="K89" s="392"/>
      <c r="L89" s="133"/>
      <c r="M89" s="392"/>
      <c r="N89" s="392"/>
      <c r="O89" s="392"/>
      <c r="P89" s="392"/>
      <c r="Q89" s="392"/>
      <c r="R89" s="133"/>
      <c r="S89" s="133"/>
      <c r="T89" s="133"/>
      <c r="U89" s="133"/>
      <c r="V89" s="133"/>
    </row>
    <row r="90" spans="1:22" ht="15.75">
      <c r="A90" s="133"/>
      <c r="B90" s="133"/>
      <c r="E90" s="392"/>
      <c r="F90" s="392"/>
      <c r="G90" s="392"/>
      <c r="H90" s="392"/>
      <c r="I90" s="392"/>
      <c r="J90" s="392"/>
      <c r="K90" s="392"/>
      <c r="L90" s="133"/>
      <c r="M90" s="392"/>
      <c r="N90" s="392"/>
      <c r="O90" s="392"/>
      <c r="P90" s="392"/>
      <c r="Q90" s="392"/>
      <c r="R90" s="133"/>
      <c r="S90" s="133"/>
      <c r="T90" s="133"/>
      <c r="U90" s="133"/>
      <c r="V90" s="133"/>
    </row>
    <row r="91" spans="1:22" ht="15.75">
      <c r="A91" s="133"/>
      <c r="B91" s="133"/>
      <c r="E91" s="392"/>
      <c r="F91" s="392"/>
      <c r="G91" s="392"/>
      <c r="H91" s="392"/>
      <c r="I91" s="392"/>
      <c r="J91" s="392"/>
      <c r="K91" s="392"/>
      <c r="L91" s="133"/>
      <c r="M91" s="392"/>
      <c r="N91" s="392"/>
      <c r="O91" s="392"/>
      <c r="P91" s="392"/>
      <c r="Q91" s="392"/>
      <c r="R91" s="133"/>
      <c r="S91" s="133"/>
      <c r="T91" s="133"/>
      <c r="U91" s="133"/>
      <c r="V91" s="133"/>
    </row>
    <row r="92" spans="1:22" ht="15.75">
      <c r="A92" s="133"/>
      <c r="B92" s="133"/>
      <c r="E92" s="392"/>
      <c r="F92" s="392"/>
      <c r="G92" s="392"/>
      <c r="H92" s="392"/>
      <c r="I92" s="392"/>
      <c r="J92" s="392"/>
      <c r="K92" s="392"/>
      <c r="L92" s="133"/>
      <c r="M92" s="392"/>
      <c r="N92" s="392"/>
      <c r="O92" s="392"/>
      <c r="P92" s="392"/>
      <c r="Q92" s="392"/>
      <c r="R92" s="133"/>
      <c r="S92" s="133"/>
      <c r="T92" s="133"/>
      <c r="U92" s="133"/>
      <c r="V92" s="133"/>
    </row>
    <row r="93" spans="1:22" ht="15.75">
      <c r="A93" s="133"/>
      <c r="B93" s="133"/>
      <c r="E93" s="392"/>
      <c r="F93" s="392"/>
      <c r="G93" s="392"/>
      <c r="H93" s="392"/>
      <c r="I93" s="392"/>
      <c r="J93" s="392"/>
      <c r="K93" s="392"/>
      <c r="L93" s="133"/>
      <c r="M93" s="392"/>
      <c r="N93" s="392"/>
      <c r="O93" s="392"/>
      <c r="P93" s="392"/>
      <c r="Q93" s="392"/>
      <c r="R93" s="133"/>
      <c r="S93" s="133"/>
      <c r="T93" s="133"/>
      <c r="U93" s="133"/>
      <c r="V93" s="133"/>
    </row>
    <row r="94" spans="1:22" ht="15.75">
      <c r="A94" s="133"/>
      <c r="B94" s="133"/>
      <c r="E94" s="392"/>
      <c r="F94" s="392"/>
      <c r="G94" s="392"/>
      <c r="H94" s="392"/>
      <c r="I94" s="392"/>
      <c r="J94" s="392"/>
      <c r="K94" s="392"/>
      <c r="L94" s="133"/>
      <c r="M94" s="392"/>
      <c r="N94" s="392"/>
      <c r="O94" s="392"/>
      <c r="P94" s="392"/>
      <c r="Q94" s="392"/>
      <c r="R94" s="133"/>
      <c r="S94" s="133"/>
      <c r="T94" s="133"/>
      <c r="U94" s="133"/>
      <c r="V94" s="133"/>
    </row>
    <row r="95" spans="1:22" ht="15.75">
      <c r="A95" s="133"/>
      <c r="B95" s="133"/>
      <c r="E95" s="392"/>
      <c r="F95" s="392"/>
      <c r="G95" s="392"/>
      <c r="H95" s="392"/>
      <c r="I95" s="392"/>
      <c r="J95" s="392"/>
      <c r="K95" s="392"/>
      <c r="L95" s="133"/>
      <c r="M95" s="392"/>
      <c r="N95" s="392"/>
      <c r="O95" s="392"/>
      <c r="P95" s="392"/>
      <c r="Q95" s="392"/>
      <c r="R95" s="133"/>
      <c r="S95" s="133"/>
      <c r="T95" s="133"/>
      <c r="U95" s="133"/>
      <c r="V95" s="133"/>
    </row>
    <row r="96" spans="1:22" ht="15.75">
      <c r="A96" s="133"/>
      <c r="B96" s="133"/>
      <c r="E96" s="392"/>
      <c r="F96" s="392"/>
      <c r="G96" s="392"/>
      <c r="H96" s="392"/>
      <c r="I96" s="392"/>
      <c r="J96" s="392"/>
      <c r="K96" s="392"/>
      <c r="L96" s="133"/>
      <c r="M96" s="392"/>
      <c r="N96" s="392"/>
      <c r="O96" s="392"/>
      <c r="P96" s="392"/>
      <c r="Q96" s="392"/>
      <c r="R96" s="133"/>
      <c r="S96" s="133"/>
      <c r="T96" s="133"/>
      <c r="U96" s="133"/>
      <c r="V96" s="133"/>
    </row>
    <row r="97" spans="1:22" ht="15.75">
      <c r="A97" s="133"/>
      <c r="B97" s="133"/>
      <c r="E97" s="392"/>
      <c r="F97" s="392"/>
      <c r="G97" s="392"/>
      <c r="H97" s="392"/>
      <c r="I97" s="392"/>
      <c r="J97" s="392"/>
      <c r="K97" s="392"/>
      <c r="L97" s="133"/>
      <c r="M97" s="392"/>
      <c r="N97" s="392"/>
      <c r="O97" s="392"/>
      <c r="P97" s="392"/>
      <c r="Q97" s="392"/>
      <c r="R97" s="133"/>
      <c r="S97" s="133"/>
      <c r="T97" s="133"/>
      <c r="U97" s="133"/>
      <c r="V97" s="133"/>
    </row>
    <row r="98" spans="1:22" ht="15.75">
      <c r="A98" s="133"/>
      <c r="B98" s="133"/>
      <c r="E98" s="392"/>
      <c r="F98" s="392"/>
      <c r="G98" s="392"/>
      <c r="H98" s="392"/>
      <c r="I98" s="392"/>
      <c r="J98" s="392"/>
      <c r="K98" s="392"/>
      <c r="L98" s="133"/>
      <c r="M98" s="392"/>
      <c r="N98" s="392"/>
      <c r="O98" s="392"/>
      <c r="P98" s="392"/>
      <c r="Q98" s="392"/>
      <c r="R98" s="133"/>
      <c r="S98" s="133"/>
      <c r="T98" s="133"/>
      <c r="U98" s="133"/>
      <c r="V98" s="133"/>
    </row>
    <row r="99" spans="1:22" ht="15.75">
      <c r="A99" s="133"/>
      <c r="B99" s="133"/>
      <c r="E99" s="392"/>
      <c r="F99" s="392"/>
      <c r="G99" s="392"/>
      <c r="H99" s="392"/>
      <c r="I99" s="392"/>
      <c r="J99" s="392"/>
      <c r="K99" s="392"/>
      <c r="L99" s="133"/>
      <c r="M99" s="392"/>
      <c r="N99" s="392"/>
      <c r="O99" s="392"/>
      <c r="P99" s="392"/>
      <c r="Q99" s="392"/>
      <c r="R99" s="133"/>
      <c r="S99" s="133"/>
      <c r="T99" s="133"/>
      <c r="U99" s="133"/>
      <c r="V99" s="133"/>
    </row>
    <row r="100" spans="1:22">
      <c r="A100" s="16"/>
      <c r="B100" s="16"/>
      <c r="C100" s="16"/>
      <c r="D100" s="16"/>
      <c r="E100" s="16"/>
      <c r="F100" s="16"/>
      <c r="G100" s="16"/>
      <c r="H100" s="16"/>
      <c r="I100" s="16"/>
      <c r="J100" s="16"/>
      <c r="K100" s="16"/>
      <c r="L100" s="16"/>
      <c r="M100" s="16"/>
      <c r="N100" s="16"/>
      <c r="O100" s="16"/>
      <c r="P100" s="16"/>
      <c r="Q100" s="16"/>
      <c r="R100" s="16"/>
      <c r="S100" s="16"/>
      <c r="T100" s="16"/>
      <c r="U100" s="16"/>
      <c r="V100" s="16"/>
    </row>
    <row r="101" spans="1:22">
      <c r="A101" s="16"/>
      <c r="B101" s="16"/>
      <c r="C101" s="16"/>
      <c r="D101" s="16"/>
      <c r="E101" s="16"/>
      <c r="F101" s="16"/>
      <c r="G101" s="16"/>
      <c r="H101" s="16"/>
      <c r="I101" s="16"/>
      <c r="J101" s="16"/>
      <c r="K101" s="16"/>
      <c r="L101" s="16"/>
      <c r="M101" s="16"/>
      <c r="N101" s="16"/>
      <c r="O101" s="16"/>
      <c r="P101" s="16"/>
      <c r="Q101" s="16"/>
      <c r="R101" s="16"/>
      <c r="S101" s="16"/>
      <c r="T101" s="16"/>
      <c r="U101" s="16"/>
      <c r="V101" s="16"/>
    </row>
    <row r="102" spans="1:22">
      <c r="A102" s="16"/>
      <c r="B102" s="16"/>
      <c r="C102" s="16"/>
      <c r="D102" s="16"/>
      <c r="E102" s="16"/>
      <c r="F102" s="16"/>
      <c r="G102" s="16"/>
      <c r="H102" s="16"/>
      <c r="I102" s="16"/>
      <c r="J102" s="16"/>
      <c r="K102" s="16"/>
      <c r="L102" s="16"/>
      <c r="M102" s="16"/>
      <c r="N102" s="16"/>
      <c r="O102" s="16"/>
      <c r="P102" s="16"/>
      <c r="Q102" s="16"/>
      <c r="R102" s="16"/>
      <c r="S102" s="16"/>
      <c r="T102" s="16"/>
      <c r="U102" s="16"/>
      <c r="V102" s="16"/>
    </row>
    <row r="103" spans="1:22">
      <c r="A103" s="16"/>
      <c r="B103" s="16"/>
      <c r="C103" s="16"/>
      <c r="D103" s="16"/>
      <c r="E103" s="16"/>
      <c r="F103" s="16"/>
      <c r="G103" s="16"/>
      <c r="H103" s="16"/>
      <c r="I103" s="16"/>
      <c r="J103" s="16"/>
      <c r="K103" s="16"/>
      <c r="L103" s="16"/>
      <c r="M103" s="16"/>
      <c r="N103" s="16"/>
      <c r="O103" s="16"/>
      <c r="P103" s="16"/>
      <c r="Q103" s="16"/>
      <c r="R103" s="16"/>
      <c r="S103" s="16"/>
      <c r="T103" s="16"/>
      <c r="U103" s="16"/>
      <c r="V103" s="16"/>
    </row>
    <row r="104" spans="1:22">
      <c r="A104" s="16"/>
      <c r="B104" s="16"/>
      <c r="C104" s="16"/>
      <c r="D104" s="16"/>
      <c r="E104" s="16"/>
      <c r="F104" s="16"/>
      <c r="G104" s="16"/>
      <c r="H104" s="16"/>
      <c r="I104" s="16"/>
      <c r="J104" s="16"/>
      <c r="K104" s="16"/>
      <c r="L104" s="16"/>
      <c r="M104" s="16"/>
      <c r="N104" s="16"/>
      <c r="O104" s="16"/>
      <c r="P104" s="16"/>
      <c r="Q104" s="16"/>
      <c r="R104" s="16"/>
      <c r="S104" s="16"/>
      <c r="T104" s="16"/>
      <c r="U104" s="16"/>
      <c r="V104" s="16"/>
    </row>
    <row r="105" spans="1:22">
      <c r="A105" s="16"/>
      <c r="B105" s="16"/>
      <c r="C105" s="16"/>
      <c r="D105" s="16"/>
      <c r="E105" s="16"/>
      <c r="F105" s="16"/>
      <c r="G105" s="16"/>
      <c r="H105" s="16"/>
      <c r="I105" s="16"/>
      <c r="J105" s="16"/>
      <c r="K105" s="16"/>
      <c r="L105" s="16"/>
      <c r="M105" s="16"/>
      <c r="N105" s="16"/>
      <c r="O105" s="16"/>
      <c r="P105" s="16"/>
      <c r="Q105" s="16"/>
      <c r="R105" s="16"/>
      <c r="S105" s="16"/>
      <c r="T105" s="16"/>
      <c r="U105" s="16"/>
      <c r="V105" s="16"/>
    </row>
    <row r="106" spans="1:22">
      <c r="A106" s="16"/>
      <c r="B106" s="16"/>
      <c r="C106" s="16"/>
      <c r="D106" s="16"/>
      <c r="E106" s="16"/>
      <c r="F106" s="16"/>
      <c r="G106" s="16"/>
      <c r="H106" s="16"/>
      <c r="I106" s="16"/>
      <c r="J106" s="16"/>
      <c r="K106" s="16"/>
      <c r="L106" s="16"/>
      <c r="M106" s="16"/>
      <c r="N106" s="16"/>
      <c r="O106" s="16"/>
      <c r="P106" s="16"/>
      <c r="Q106" s="16"/>
      <c r="R106" s="16"/>
      <c r="S106" s="16"/>
      <c r="T106" s="16"/>
      <c r="U106" s="16"/>
      <c r="V106" s="16"/>
    </row>
    <row r="107" spans="1:22" ht="12.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row>
    <row r="108" spans="1:22" ht="12.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row>
    <row r="109" spans="1:22" ht="12.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row>
    <row r="110" spans="1:22" ht="12.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row>
    <row r="111" spans="1:22" ht="12.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row>
    <row r="112" spans="1:22" ht="12.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row>
    <row r="113" spans="1:22" ht="12.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row>
    <row r="114" spans="1:22" ht="12.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row>
    <row r="115" spans="1:22" ht="12.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row>
    <row r="116" spans="1:22" ht="12.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row>
    <row r="117" spans="1:22" ht="12.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row>
    <row r="118" spans="1:22">
      <c r="A118" s="16"/>
      <c r="B118" s="16"/>
      <c r="C118" s="16"/>
      <c r="D118" s="16"/>
      <c r="E118" s="16"/>
      <c r="F118" s="16"/>
      <c r="G118" s="16"/>
      <c r="H118" s="16"/>
      <c r="I118" s="16"/>
      <c r="J118" s="16"/>
      <c r="K118" s="16"/>
      <c r="L118" s="16"/>
      <c r="M118" s="16"/>
      <c r="N118" s="16"/>
      <c r="O118" s="16"/>
      <c r="P118" s="16"/>
      <c r="Q118" s="16"/>
      <c r="R118" s="16"/>
      <c r="S118" s="16"/>
      <c r="T118" s="16"/>
      <c r="U118" s="16"/>
      <c r="V118" s="16"/>
    </row>
    <row r="119" spans="1:22">
      <c r="A119" s="16"/>
      <c r="B119" s="16"/>
      <c r="C119" s="16"/>
      <c r="D119" s="16"/>
      <c r="E119" s="16"/>
      <c r="F119" s="16"/>
      <c r="G119" s="16"/>
      <c r="H119" s="16"/>
      <c r="I119" s="16"/>
      <c r="J119" s="16"/>
      <c r="K119" s="16"/>
      <c r="L119" s="16"/>
      <c r="M119" s="16"/>
      <c r="N119" s="16"/>
      <c r="O119" s="16"/>
      <c r="P119" s="16"/>
      <c r="Q119" s="16"/>
      <c r="R119" s="16"/>
      <c r="S119" s="16"/>
      <c r="T119" s="16"/>
      <c r="U119" s="16"/>
      <c r="V119" s="16"/>
    </row>
    <row r="120" spans="1:22">
      <c r="A120" s="16"/>
      <c r="B120" s="16"/>
      <c r="C120" s="16"/>
      <c r="D120" s="16"/>
      <c r="E120" s="16"/>
      <c r="F120" s="16"/>
      <c r="G120" s="16"/>
      <c r="H120" s="16"/>
      <c r="I120" s="16"/>
      <c r="J120" s="16"/>
      <c r="K120" s="16"/>
      <c r="L120" s="16"/>
      <c r="M120" s="16"/>
      <c r="N120" s="16"/>
      <c r="O120" s="16"/>
      <c r="P120" s="16"/>
      <c r="Q120" s="16"/>
      <c r="R120" s="16"/>
      <c r="S120" s="16"/>
      <c r="T120" s="16"/>
      <c r="U120" s="16"/>
      <c r="V120" s="16"/>
    </row>
    <row r="121" spans="1:22">
      <c r="A121" s="16"/>
      <c r="B121" s="16"/>
      <c r="C121" s="16"/>
      <c r="D121" s="16"/>
      <c r="E121" s="16"/>
      <c r="F121" s="16"/>
      <c r="G121" s="16"/>
      <c r="H121" s="16"/>
      <c r="I121" s="16"/>
      <c r="J121" s="16"/>
      <c r="K121" s="16"/>
      <c r="L121" s="16"/>
      <c r="M121" s="16"/>
      <c r="N121" s="16"/>
      <c r="O121" s="16"/>
      <c r="P121" s="16"/>
      <c r="Q121" s="16"/>
      <c r="R121" s="16"/>
      <c r="S121" s="16"/>
      <c r="T121" s="16"/>
      <c r="U121" s="16"/>
      <c r="V121" s="16"/>
    </row>
    <row r="122" spans="1:22">
      <c r="A122" s="16"/>
      <c r="B122" s="16"/>
      <c r="C122" s="16"/>
      <c r="D122" s="16"/>
      <c r="E122" s="16"/>
      <c r="F122" s="16"/>
      <c r="G122" s="16"/>
      <c r="H122" s="16"/>
      <c r="I122" s="16"/>
      <c r="J122" s="16"/>
      <c r="K122" s="16"/>
      <c r="L122" s="16"/>
      <c r="M122" s="16"/>
      <c r="N122" s="16"/>
      <c r="O122" s="16"/>
      <c r="P122" s="16"/>
      <c r="Q122" s="16"/>
      <c r="R122" s="16"/>
      <c r="S122" s="16"/>
      <c r="T122" s="16"/>
      <c r="U122" s="16"/>
      <c r="V122" s="16"/>
    </row>
    <row r="123" spans="1:22">
      <c r="A123" s="16"/>
      <c r="B123" s="16"/>
      <c r="C123" s="16"/>
      <c r="D123" s="16"/>
      <c r="E123" s="16"/>
      <c r="F123" s="16"/>
      <c r="G123" s="16"/>
      <c r="H123" s="16"/>
      <c r="I123" s="16"/>
      <c r="J123" s="16"/>
      <c r="K123" s="16"/>
      <c r="L123" s="16"/>
      <c r="M123" s="16"/>
      <c r="N123" s="16"/>
      <c r="O123" s="16"/>
      <c r="P123" s="16"/>
      <c r="Q123" s="16"/>
      <c r="R123" s="16"/>
      <c r="S123" s="16"/>
      <c r="T123" s="16"/>
      <c r="U123" s="16"/>
      <c r="V123" s="16"/>
    </row>
    <row r="124" spans="1:22">
      <c r="A124" s="16"/>
      <c r="B124" s="16"/>
      <c r="C124" s="16"/>
      <c r="D124" s="16"/>
      <c r="E124" s="16"/>
      <c r="F124" s="16"/>
      <c r="G124" s="16"/>
      <c r="H124" s="16"/>
      <c r="I124" s="16"/>
      <c r="J124" s="16"/>
      <c r="K124" s="16"/>
      <c r="L124" s="16"/>
      <c r="M124" s="16"/>
      <c r="N124" s="16"/>
      <c r="O124" s="16"/>
      <c r="P124" s="16"/>
      <c r="Q124" s="16"/>
      <c r="R124" s="16"/>
      <c r="S124" s="16"/>
      <c r="T124" s="16"/>
      <c r="U124" s="16"/>
      <c r="V124" s="16"/>
    </row>
    <row r="125" spans="1:22">
      <c r="A125" s="16"/>
      <c r="B125" s="16"/>
      <c r="C125" s="16"/>
      <c r="D125" s="16"/>
      <c r="E125" s="16"/>
      <c r="F125" s="16"/>
      <c r="G125" s="16"/>
      <c r="H125" s="16"/>
      <c r="I125" s="16"/>
      <c r="J125" s="16"/>
      <c r="K125" s="16"/>
      <c r="L125" s="16"/>
      <c r="M125" s="16"/>
      <c r="N125" s="16"/>
      <c r="O125" s="16"/>
      <c r="P125" s="16"/>
      <c r="Q125" s="16"/>
      <c r="R125" s="16"/>
      <c r="S125" s="16"/>
      <c r="T125" s="16"/>
      <c r="U125" s="16"/>
      <c r="V125" s="16"/>
    </row>
    <row r="126" spans="1:22">
      <c r="A126" s="16"/>
      <c r="B126" s="16"/>
      <c r="C126" s="16"/>
      <c r="D126" s="16"/>
      <c r="E126" s="16"/>
      <c r="F126" s="16"/>
      <c r="G126" s="16"/>
      <c r="H126" s="16"/>
      <c r="I126" s="16"/>
      <c r="J126" s="16"/>
      <c r="K126" s="16"/>
      <c r="L126" s="16"/>
      <c r="M126" s="16"/>
      <c r="N126" s="16"/>
      <c r="O126" s="16"/>
      <c r="P126" s="16"/>
      <c r="Q126" s="16"/>
      <c r="R126" s="16"/>
      <c r="S126" s="16"/>
      <c r="T126" s="16"/>
      <c r="U126" s="16"/>
      <c r="V126" s="16"/>
    </row>
    <row r="127" spans="1:22">
      <c r="A127" s="16"/>
      <c r="B127" s="16"/>
      <c r="C127" s="16"/>
      <c r="D127" s="16"/>
      <c r="E127" s="16"/>
      <c r="F127" s="16"/>
      <c r="G127" s="16"/>
      <c r="H127" s="16"/>
      <c r="I127" s="16"/>
      <c r="J127" s="16"/>
      <c r="K127" s="16"/>
      <c r="L127" s="16"/>
      <c r="M127" s="16"/>
      <c r="N127" s="16"/>
      <c r="O127" s="16"/>
      <c r="P127" s="16"/>
      <c r="Q127" s="16"/>
      <c r="R127" s="16"/>
      <c r="S127" s="16"/>
      <c r="T127" s="16"/>
      <c r="U127" s="16"/>
      <c r="V127" s="16"/>
    </row>
    <row r="128" spans="1:22">
      <c r="A128" s="16"/>
      <c r="B128" s="16"/>
      <c r="C128" s="16"/>
      <c r="D128" s="16"/>
      <c r="E128" s="16"/>
      <c r="F128" s="16"/>
      <c r="G128" s="16"/>
      <c r="H128" s="16"/>
      <c r="I128" s="16"/>
      <c r="J128" s="16"/>
      <c r="K128" s="16"/>
      <c r="L128" s="16"/>
      <c r="M128" s="16"/>
      <c r="N128" s="16"/>
      <c r="O128" s="16"/>
      <c r="P128" s="16"/>
      <c r="Q128" s="16"/>
      <c r="R128" s="16"/>
      <c r="S128" s="16"/>
      <c r="T128" s="16"/>
      <c r="U128" s="16"/>
      <c r="V128" s="16"/>
    </row>
    <row r="129" spans="1:22">
      <c r="A129" s="16"/>
      <c r="B129" s="16"/>
      <c r="C129" s="16"/>
      <c r="D129" s="16"/>
      <c r="E129" s="16"/>
      <c r="F129" s="16"/>
      <c r="G129" s="16"/>
      <c r="H129" s="16"/>
      <c r="I129" s="16"/>
      <c r="J129" s="16"/>
      <c r="K129" s="16"/>
      <c r="L129" s="16"/>
      <c r="M129" s="16"/>
      <c r="N129" s="16"/>
      <c r="O129" s="16"/>
      <c r="P129" s="16"/>
      <c r="Q129" s="16"/>
      <c r="R129" s="16"/>
      <c r="S129" s="16"/>
      <c r="T129" s="16"/>
      <c r="U129" s="16"/>
      <c r="V129" s="16"/>
    </row>
    <row r="130" spans="1:22">
      <c r="A130" s="16"/>
      <c r="B130" s="16"/>
      <c r="C130" s="16"/>
      <c r="D130" s="16"/>
      <c r="E130" s="16"/>
      <c r="F130" s="16"/>
      <c r="G130" s="16"/>
      <c r="H130" s="16"/>
      <c r="I130" s="16"/>
      <c r="J130" s="16"/>
      <c r="K130" s="16"/>
      <c r="L130" s="16"/>
      <c r="M130" s="16"/>
      <c r="N130" s="16"/>
      <c r="O130" s="16"/>
      <c r="P130" s="16"/>
      <c r="Q130" s="16"/>
      <c r="R130" s="16"/>
      <c r="S130" s="16"/>
      <c r="T130" s="16"/>
      <c r="U130" s="16"/>
      <c r="V130" s="16"/>
    </row>
    <row r="131" spans="1:22">
      <c r="A131" s="16"/>
      <c r="B131" s="16"/>
      <c r="C131" s="16"/>
      <c r="D131" s="16"/>
      <c r="E131" s="16"/>
      <c r="F131" s="16"/>
      <c r="G131" s="16"/>
      <c r="H131" s="16"/>
      <c r="I131" s="16"/>
      <c r="J131" s="16"/>
      <c r="K131" s="16"/>
      <c r="L131" s="16"/>
      <c r="M131" s="16"/>
      <c r="N131" s="16"/>
      <c r="O131" s="16"/>
      <c r="P131" s="16"/>
      <c r="Q131" s="16"/>
      <c r="R131" s="16"/>
      <c r="S131" s="16"/>
      <c r="T131" s="16"/>
      <c r="U131" s="16"/>
      <c r="V131" s="16"/>
    </row>
    <row r="132" spans="1:22">
      <c r="A132" s="16"/>
      <c r="B132" s="16"/>
      <c r="C132" s="16"/>
      <c r="D132" s="16"/>
      <c r="E132" s="16"/>
      <c r="F132" s="16"/>
      <c r="G132" s="16"/>
      <c r="H132" s="16"/>
      <c r="I132" s="16"/>
      <c r="J132" s="16"/>
      <c r="K132" s="16"/>
      <c r="L132" s="16"/>
      <c r="M132" s="16"/>
      <c r="N132" s="16"/>
      <c r="O132" s="16"/>
      <c r="P132" s="16"/>
      <c r="Q132" s="16"/>
      <c r="R132" s="16"/>
      <c r="S132" s="16"/>
      <c r="T132" s="16"/>
      <c r="U132" s="16"/>
      <c r="V132" s="16"/>
    </row>
    <row r="133" spans="1:22">
      <c r="A133" s="16"/>
      <c r="B133" s="16"/>
      <c r="C133" s="16"/>
      <c r="D133" s="16"/>
      <c r="E133" s="16"/>
      <c r="F133" s="16"/>
      <c r="G133" s="16"/>
      <c r="H133" s="16"/>
      <c r="I133" s="16"/>
      <c r="J133" s="16"/>
      <c r="K133" s="16"/>
      <c r="L133" s="16"/>
      <c r="M133" s="16"/>
      <c r="N133" s="16"/>
      <c r="O133" s="16"/>
      <c r="P133" s="16"/>
      <c r="Q133" s="16"/>
      <c r="R133" s="16"/>
      <c r="S133" s="16"/>
      <c r="T133" s="16"/>
      <c r="U133" s="16"/>
      <c r="V133" s="16"/>
    </row>
    <row r="134" spans="1:22">
      <c r="A134" s="16"/>
      <c r="B134" s="16"/>
      <c r="C134" s="16"/>
      <c r="D134" s="16"/>
      <c r="E134" s="16"/>
      <c r="F134" s="16"/>
      <c r="G134" s="16"/>
      <c r="H134" s="16"/>
      <c r="I134" s="16"/>
      <c r="J134" s="16"/>
      <c r="K134" s="16"/>
      <c r="L134" s="16"/>
      <c r="M134" s="16"/>
      <c r="N134" s="16"/>
      <c r="O134" s="16"/>
      <c r="P134" s="16"/>
      <c r="Q134" s="16"/>
      <c r="R134" s="16"/>
      <c r="S134" s="16"/>
      <c r="T134" s="16"/>
      <c r="U134" s="16"/>
      <c r="V134" s="16"/>
    </row>
    <row r="135" spans="1:22">
      <c r="A135" s="16"/>
      <c r="B135" s="16"/>
      <c r="C135" s="16"/>
      <c r="D135" s="16"/>
      <c r="E135" s="16"/>
      <c r="F135" s="16"/>
      <c r="G135" s="16"/>
      <c r="H135" s="16"/>
      <c r="I135" s="16"/>
      <c r="J135" s="16"/>
      <c r="K135" s="16"/>
      <c r="L135" s="16"/>
      <c r="M135" s="16"/>
      <c r="N135" s="16"/>
      <c r="O135" s="16"/>
      <c r="P135" s="16"/>
      <c r="Q135" s="16"/>
      <c r="R135" s="16"/>
      <c r="S135" s="16"/>
      <c r="T135" s="16"/>
      <c r="U135" s="16"/>
      <c r="V135" s="16"/>
    </row>
    <row r="136" spans="1:22">
      <c r="A136" s="16"/>
      <c r="B136" s="16"/>
      <c r="C136" s="16"/>
      <c r="D136" s="16"/>
      <c r="E136" s="16"/>
      <c r="F136" s="16"/>
      <c r="G136" s="16"/>
      <c r="H136" s="16"/>
      <c r="I136" s="16"/>
      <c r="J136" s="16"/>
      <c r="K136" s="16"/>
      <c r="L136" s="16"/>
      <c r="M136" s="16"/>
      <c r="N136" s="16"/>
      <c r="O136" s="16"/>
      <c r="P136" s="16"/>
      <c r="Q136" s="16"/>
      <c r="R136" s="16"/>
      <c r="S136" s="16"/>
      <c r="T136" s="16"/>
      <c r="U136" s="16"/>
      <c r="V136" s="16"/>
    </row>
    <row r="137" spans="1:22">
      <c r="A137" s="16"/>
      <c r="B137" s="16"/>
      <c r="C137" s="16"/>
      <c r="D137" s="16"/>
      <c r="E137" s="16"/>
      <c r="F137" s="16"/>
      <c r="G137" s="16"/>
      <c r="H137" s="16"/>
      <c r="I137" s="16"/>
      <c r="J137" s="16"/>
      <c r="K137" s="16"/>
      <c r="L137" s="16"/>
      <c r="M137" s="16"/>
      <c r="N137" s="16"/>
      <c r="O137" s="16"/>
      <c r="P137" s="16"/>
      <c r="Q137" s="16"/>
      <c r="R137" s="16"/>
      <c r="S137" s="16"/>
      <c r="T137" s="16"/>
      <c r="U137" s="16"/>
      <c r="V137" s="16"/>
    </row>
    <row r="138" spans="1:22" ht="12.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row>
    <row r="139" spans="1:22" ht="12.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row>
    <row r="140" spans="1:22" ht="12.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row>
    <row r="141" spans="1:22">
      <c r="A141" s="16"/>
      <c r="B141" s="16"/>
      <c r="C141" s="16"/>
      <c r="D141" s="16"/>
      <c r="E141" s="16"/>
      <c r="F141" s="16"/>
      <c r="G141" s="16"/>
      <c r="H141" s="16"/>
      <c r="I141" s="16"/>
      <c r="J141" s="16"/>
      <c r="K141" s="16"/>
      <c r="L141" s="16"/>
      <c r="M141" s="16"/>
      <c r="N141" s="16"/>
      <c r="O141" s="16"/>
      <c r="P141" s="16"/>
      <c r="Q141" s="16"/>
      <c r="R141" s="16"/>
      <c r="S141" s="16"/>
      <c r="T141" s="16"/>
      <c r="U141" s="16"/>
      <c r="V141" s="16"/>
    </row>
    <row r="142" spans="1:22">
      <c r="A142" s="16"/>
      <c r="B142" s="16"/>
      <c r="C142" s="16"/>
      <c r="D142" s="16"/>
      <c r="E142" s="16"/>
      <c r="F142" s="16"/>
      <c r="G142" s="16"/>
      <c r="H142" s="16"/>
      <c r="I142" s="16"/>
      <c r="J142" s="16"/>
      <c r="K142" s="16"/>
      <c r="L142" s="16"/>
      <c r="M142" s="16"/>
      <c r="N142" s="16"/>
      <c r="O142" s="16"/>
      <c r="P142" s="16"/>
      <c r="Q142" s="16"/>
      <c r="R142" s="16"/>
      <c r="S142" s="16"/>
      <c r="T142" s="16"/>
      <c r="U142" s="16"/>
      <c r="V142" s="16"/>
    </row>
    <row r="143" spans="1:22">
      <c r="A143" s="16"/>
      <c r="B143" s="16"/>
      <c r="C143" s="16"/>
      <c r="D143" s="16"/>
      <c r="E143" s="16"/>
      <c r="F143" s="16"/>
      <c r="G143" s="16"/>
      <c r="H143" s="16"/>
      <c r="I143" s="16"/>
      <c r="J143" s="16"/>
      <c r="K143" s="16"/>
      <c r="L143" s="16"/>
      <c r="M143" s="16"/>
      <c r="N143" s="16"/>
      <c r="O143" s="16"/>
      <c r="P143" s="16"/>
      <c r="Q143" s="16"/>
      <c r="R143" s="16"/>
      <c r="S143" s="16"/>
      <c r="T143" s="16"/>
      <c r="U143" s="16"/>
      <c r="V143" s="16"/>
    </row>
    <row r="144" spans="1:22">
      <c r="A144" s="16"/>
      <c r="B144" s="16"/>
      <c r="C144" s="16"/>
      <c r="D144" s="16"/>
      <c r="E144" s="16"/>
      <c r="F144" s="16"/>
      <c r="G144" s="16"/>
      <c r="H144" s="16"/>
      <c r="I144" s="16"/>
      <c r="J144" s="16"/>
      <c r="K144" s="16"/>
      <c r="L144" s="16"/>
      <c r="M144" s="16"/>
      <c r="N144" s="16"/>
      <c r="O144" s="16"/>
      <c r="P144" s="16"/>
      <c r="Q144" s="16"/>
      <c r="R144" s="16"/>
      <c r="S144" s="16"/>
      <c r="T144" s="16"/>
      <c r="U144" s="16"/>
      <c r="V144" s="16"/>
    </row>
    <row r="145" spans="1:22">
      <c r="A145" s="16"/>
      <c r="B145" s="16"/>
      <c r="C145" s="16"/>
      <c r="D145" s="16"/>
      <c r="E145" s="16"/>
      <c r="F145" s="16"/>
      <c r="G145" s="16"/>
      <c r="H145" s="16"/>
      <c r="I145" s="16"/>
      <c r="J145" s="16"/>
      <c r="K145" s="16"/>
      <c r="L145" s="16"/>
      <c r="M145" s="16"/>
      <c r="N145" s="16"/>
      <c r="O145" s="16"/>
      <c r="P145" s="16"/>
      <c r="Q145" s="16"/>
      <c r="R145" s="16"/>
      <c r="S145" s="16"/>
      <c r="T145" s="16"/>
      <c r="U145" s="16"/>
      <c r="V145" s="16"/>
    </row>
    <row r="146" spans="1:22">
      <c r="A146" s="16"/>
      <c r="B146" s="16"/>
      <c r="C146" s="16"/>
      <c r="D146" s="16"/>
      <c r="E146" s="16"/>
      <c r="F146" s="16"/>
      <c r="G146" s="16"/>
      <c r="H146" s="16"/>
      <c r="I146" s="16"/>
      <c r="J146" s="16"/>
      <c r="K146" s="16"/>
      <c r="L146" s="16"/>
      <c r="M146" s="16"/>
      <c r="N146" s="16"/>
      <c r="O146" s="16"/>
      <c r="P146" s="16"/>
      <c r="Q146" s="16"/>
      <c r="R146" s="16"/>
      <c r="S146" s="16"/>
      <c r="T146" s="16"/>
      <c r="U146" s="16"/>
      <c r="V146" s="16"/>
    </row>
    <row r="147" spans="1:22">
      <c r="A147" s="16"/>
      <c r="B147" s="16"/>
      <c r="C147" s="16"/>
      <c r="D147" s="16"/>
      <c r="E147" s="16"/>
      <c r="F147" s="16"/>
      <c r="G147" s="16"/>
      <c r="H147" s="16"/>
      <c r="I147" s="16"/>
      <c r="J147" s="16"/>
      <c r="K147" s="16"/>
      <c r="L147" s="16"/>
      <c r="M147" s="16"/>
      <c r="N147" s="16"/>
      <c r="O147" s="16"/>
      <c r="P147" s="16"/>
      <c r="Q147" s="16"/>
      <c r="R147" s="16"/>
      <c r="S147" s="16"/>
      <c r="T147" s="16"/>
      <c r="U147" s="16"/>
      <c r="V147" s="16"/>
    </row>
    <row r="148" spans="1:22">
      <c r="A148" s="16"/>
      <c r="B148" s="16"/>
      <c r="C148" s="16"/>
      <c r="D148" s="16"/>
      <c r="E148" s="16"/>
      <c r="F148" s="16"/>
      <c r="G148" s="16"/>
      <c r="H148" s="16"/>
      <c r="I148" s="16"/>
      <c r="J148" s="16"/>
      <c r="K148" s="16"/>
      <c r="L148" s="16"/>
      <c r="M148" s="16"/>
      <c r="N148" s="16"/>
      <c r="O148" s="16"/>
      <c r="P148" s="16"/>
      <c r="Q148" s="16"/>
      <c r="R148" s="16"/>
      <c r="S148" s="16"/>
      <c r="T148" s="16"/>
      <c r="U148" s="16"/>
      <c r="V148" s="16"/>
    </row>
    <row r="149" spans="1:22">
      <c r="A149" s="16"/>
      <c r="B149" s="16"/>
      <c r="C149" s="16"/>
      <c r="D149" s="16"/>
      <c r="E149" s="16"/>
      <c r="F149" s="16"/>
      <c r="G149" s="16"/>
      <c r="H149" s="16"/>
      <c r="I149" s="16"/>
      <c r="J149" s="16"/>
      <c r="K149" s="16"/>
      <c r="L149" s="16"/>
      <c r="M149" s="16"/>
      <c r="N149" s="16"/>
      <c r="O149" s="16"/>
      <c r="P149" s="16"/>
      <c r="Q149" s="16"/>
      <c r="R149" s="16"/>
      <c r="S149" s="16"/>
      <c r="T149" s="16"/>
      <c r="U149" s="16"/>
      <c r="V149" s="16"/>
    </row>
    <row r="150" spans="1:22">
      <c r="A150" s="16"/>
      <c r="B150" s="16"/>
      <c r="C150" s="16"/>
      <c r="D150" s="16"/>
      <c r="E150" s="16"/>
      <c r="F150" s="16"/>
      <c r="G150" s="16"/>
      <c r="H150" s="16"/>
      <c r="I150" s="16"/>
      <c r="J150" s="16"/>
      <c r="K150" s="16"/>
      <c r="L150" s="16"/>
      <c r="M150" s="16"/>
      <c r="N150" s="16"/>
      <c r="O150" s="16"/>
      <c r="P150" s="16"/>
      <c r="Q150" s="16"/>
      <c r="R150" s="16"/>
      <c r="S150" s="16"/>
      <c r="T150" s="16"/>
      <c r="U150" s="16"/>
      <c r="V150" s="16"/>
    </row>
    <row r="151" spans="1:22">
      <c r="A151" s="16"/>
      <c r="B151" s="16"/>
      <c r="C151" s="16"/>
      <c r="D151" s="16"/>
      <c r="E151" s="16"/>
      <c r="F151" s="16"/>
      <c r="G151" s="16"/>
      <c r="H151" s="16"/>
      <c r="I151" s="16"/>
      <c r="J151" s="16"/>
      <c r="K151" s="16"/>
      <c r="L151" s="16"/>
      <c r="M151" s="16"/>
      <c r="N151" s="16"/>
      <c r="O151" s="16"/>
      <c r="P151" s="16"/>
      <c r="Q151" s="16"/>
      <c r="R151" s="16"/>
      <c r="S151" s="16"/>
      <c r="T151" s="16"/>
      <c r="U151" s="16"/>
      <c r="V151" s="16"/>
    </row>
  </sheetData>
  <mergeCells count="8">
    <mergeCell ref="B36:J37"/>
    <mergeCell ref="B29:G30"/>
    <mergeCell ref="A8:K8"/>
    <mergeCell ref="B11:H11"/>
    <mergeCell ref="A3:K3"/>
    <mergeCell ref="A4:K4"/>
    <mergeCell ref="A5:K5"/>
    <mergeCell ref="A6:K6"/>
  </mergeCells>
  <phoneticPr fontId="0" type="noConversion"/>
  <pageMargins left="0.26" right="1.28" top="1" bottom="1" header="0.75" footer="0.5"/>
  <pageSetup scale="83" orientation="landscape" r:id="rId1"/>
  <headerFooter alignWithMargins="0">
    <oddHeader>&amp;R&amp;"Arial,Bold"Formula Rate 
&amp;A
Page &amp;P of &amp;N</oddHeader>
  </headerFooter>
  <rowBreaks count="1" manualBreakCount="1">
    <brk id="102"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S76"/>
  <sheetViews>
    <sheetView tabSelected="1" topLeftCell="A15" zoomScale="75" workbookViewId="0">
      <selection activeCell="O54" sqref="O54"/>
    </sheetView>
  </sheetViews>
  <sheetFormatPr defaultRowHeight="15"/>
  <cols>
    <col min="1" max="1" width="10.42578125" style="33" customWidth="1"/>
    <col min="2" max="2" width="15.140625" style="8" customWidth="1"/>
    <col min="3" max="3" width="57.7109375" style="5" customWidth="1"/>
    <col min="4" max="4" width="15.7109375" style="5" customWidth="1"/>
    <col min="5" max="5" width="20.7109375" style="5" customWidth="1"/>
    <col min="6" max="6" width="17.28515625" style="5" customWidth="1"/>
    <col min="7" max="7" width="41.85546875" style="5" customWidth="1"/>
    <col min="8" max="8" width="13.85546875" style="5" customWidth="1"/>
    <col min="9" max="9" width="9.140625" style="5"/>
    <col min="10" max="10" width="12.42578125" style="5" bestFit="1" customWidth="1"/>
    <col min="11" max="11" width="13.28515625" style="5" customWidth="1"/>
    <col min="12" max="16384" width="9.140625" style="5"/>
  </cols>
  <sheetData>
    <row r="1" spans="1:11" ht="15.75">
      <c r="A1" s="738" t="s">
        <v>414</v>
      </c>
    </row>
    <row r="2" spans="1:11" ht="15.75">
      <c r="A2" s="738" t="s">
        <v>414</v>
      </c>
    </row>
    <row r="3" spans="1:11">
      <c r="A3" s="1161" t="str">
        <f>TCOS!$F$5</f>
        <v>AEPTCo subsidiaries in PJM</v>
      </c>
      <c r="B3" s="1161" t="str">
        <f>TCOS!$F$5</f>
        <v>AEPTCo subsidiaries in PJM</v>
      </c>
      <c r="C3" s="1161" t="str">
        <f>TCOS!$F$5</f>
        <v>AEPTCo subsidiaries in PJM</v>
      </c>
      <c r="D3" s="1161" t="str">
        <f>TCOS!$F$5</f>
        <v>AEPTCo subsidiaries in PJM</v>
      </c>
      <c r="E3" s="1161" t="str">
        <f>TCOS!$F$5</f>
        <v>AEPTCo subsidiaries in PJM</v>
      </c>
      <c r="F3" s="1161" t="str">
        <f>TCOS!$F$5</f>
        <v>AEPTCo subsidiaries in PJM</v>
      </c>
      <c r="G3" s="1161" t="str">
        <f>TCOS!$F$5</f>
        <v>AEPTCo subsidiaries in PJM</v>
      </c>
      <c r="H3" s="17"/>
    </row>
    <row r="4" spans="1:11" ht="12.75" customHeight="1">
      <c r="A4" s="1162" t="str">
        <f>"Cost of Service Formula Rate Using Actual/Projected FF1 Balances"</f>
        <v>Cost of Service Formula Rate Using Actual/Projected FF1 Balances</v>
      </c>
      <c r="B4" s="1162"/>
      <c r="C4" s="1162"/>
      <c r="D4" s="1162"/>
      <c r="E4" s="1162"/>
      <c r="F4" s="1162"/>
      <c r="G4" s="1162"/>
      <c r="H4" s="44"/>
      <c r="I4" s="44"/>
      <c r="J4" s="44"/>
      <c r="K4" s="44"/>
    </row>
    <row r="5" spans="1:11" ht="12.75" customHeight="1">
      <c r="A5" s="1162" t="s">
        <v>286</v>
      </c>
      <c r="B5" s="1162"/>
      <c r="C5" s="1162"/>
      <c r="D5" s="1162"/>
      <c r="E5" s="1162"/>
      <c r="F5" s="1162"/>
      <c r="G5" s="1162"/>
    </row>
    <row r="6" spans="1:11" ht="12.75" customHeight="1">
      <c r="A6" s="1173" t="str">
        <f>TCOS!F9</f>
        <v>AEP Indiana Michigan Transmission Company</v>
      </c>
      <c r="B6" s="1173"/>
      <c r="C6" s="1173"/>
      <c r="D6" s="1173"/>
      <c r="E6" s="1173"/>
      <c r="F6" s="1173"/>
      <c r="G6" s="1173"/>
    </row>
    <row r="7" spans="1:11" ht="12.75" customHeight="1">
      <c r="A7" s="1161"/>
      <c r="B7" s="1161"/>
      <c r="C7" s="1161"/>
      <c r="D7" s="1161"/>
      <c r="E7" s="1161"/>
      <c r="F7" s="1161"/>
      <c r="G7" s="21"/>
    </row>
    <row r="8" spans="1:11" ht="18">
      <c r="A8" s="1200"/>
      <c r="B8" s="1200"/>
      <c r="C8" s="1200"/>
      <c r="D8" s="1200"/>
      <c r="E8" s="1200"/>
      <c r="F8" s="1200"/>
      <c r="G8" s="1200"/>
    </row>
    <row r="9" spans="1:11" ht="18">
      <c r="A9" s="67"/>
      <c r="B9" s="67"/>
      <c r="C9" s="67"/>
      <c r="D9" s="67"/>
      <c r="E9" s="67"/>
      <c r="F9" s="67"/>
      <c r="G9" s="67"/>
    </row>
    <row r="10" spans="1:11" ht="15.75">
      <c r="B10" s="15" t="s">
        <v>460</v>
      </c>
      <c r="C10" s="15" t="s">
        <v>461</v>
      </c>
      <c r="D10" s="15" t="s">
        <v>462</v>
      </c>
      <c r="E10" s="15" t="s">
        <v>463</v>
      </c>
      <c r="F10" s="15" t="s">
        <v>383</v>
      </c>
      <c r="G10" s="15" t="s">
        <v>384</v>
      </c>
    </row>
    <row r="11" spans="1:11" ht="15.75">
      <c r="B11" s="25"/>
      <c r="C11" s="21"/>
      <c r="D11" s="77"/>
      <c r="E11" s="78"/>
      <c r="F11" s="79" t="s">
        <v>386</v>
      </c>
      <c r="G11" s="15"/>
    </row>
    <row r="12" spans="1:11" ht="15.75">
      <c r="A12" s="28" t="s">
        <v>467</v>
      </c>
      <c r="B12" s="25"/>
      <c r="C12" s="34"/>
      <c r="D12" s="28">
        <f>+TCOS!L4</f>
        <v>2025</v>
      </c>
      <c r="E12" s="79" t="s">
        <v>386</v>
      </c>
      <c r="F12" s="28" t="s">
        <v>415</v>
      </c>
      <c r="G12" s="15"/>
    </row>
    <row r="13" spans="1:11" ht="15.75">
      <c r="A13" s="28" t="s">
        <v>405</v>
      </c>
      <c r="B13" s="28" t="s">
        <v>368</v>
      </c>
      <c r="C13" s="28" t="s">
        <v>465</v>
      </c>
      <c r="D13" s="28" t="s">
        <v>369</v>
      </c>
      <c r="E13" s="28" t="s">
        <v>388</v>
      </c>
      <c r="F13" s="28" t="s">
        <v>370</v>
      </c>
      <c r="G13" s="28" t="s">
        <v>371</v>
      </c>
    </row>
    <row r="14" spans="1:11" ht="15.75">
      <c r="A14" s="27"/>
      <c r="B14" s="28"/>
      <c r="C14" s="28"/>
      <c r="D14" s="28"/>
      <c r="E14" s="28"/>
      <c r="F14" s="28"/>
      <c r="G14" s="28"/>
    </row>
    <row r="15" spans="1:11" ht="15.75">
      <c r="A15" s="27"/>
      <c r="B15" s="28"/>
      <c r="C15" s="28"/>
      <c r="D15" s="28"/>
      <c r="E15" s="28"/>
      <c r="F15" s="28"/>
      <c r="G15" s="28"/>
    </row>
    <row r="16" spans="1:11" ht="15.75">
      <c r="A16" s="27"/>
      <c r="B16" s="28"/>
      <c r="D16" s="28"/>
      <c r="E16" s="28"/>
      <c r="F16" s="28"/>
      <c r="G16" s="28"/>
    </row>
    <row r="17" spans="1:7" ht="15.75">
      <c r="A17" s="27"/>
      <c r="B17" s="28"/>
      <c r="C17" s="28" t="s">
        <v>292</v>
      </c>
      <c r="D17" s="19"/>
      <c r="E17" s="19"/>
      <c r="F17" s="19"/>
      <c r="G17" s="42"/>
    </row>
    <row r="18" spans="1:7">
      <c r="A18" s="27">
        <v>1</v>
      </c>
      <c r="B18" s="702"/>
      <c r="C18" s="395"/>
      <c r="D18" s="394"/>
      <c r="E18" s="40"/>
      <c r="F18" s="40"/>
      <c r="G18" s="18"/>
    </row>
    <row r="19" spans="1:7">
      <c r="A19" s="27">
        <f>+A18+1</f>
        <v>2</v>
      </c>
      <c r="B19" s="703"/>
      <c r="C19" s="704"/>
      <c r="D19" s="394"/>
      <c r="E19" s="40"/>
      <c r="F19" s="40"/>
      <c r="G19" s="18"/>
    </row>
    <row r="20" spans="1:7" ht="15.75">
      <c r="A20" s="27">
        <f>+A19+1</f>
        <v>3</v>
      </c>
      <c r="B20" s="705"/>
      <c r="C20" s="395"/>
      <c r="D20" s="394"/>
      <c r="E20" s="40"/>
      <c r="F20" s="40"/>
      <c r="G20" s="18"/>
    </row>
    <row r="21" spans="1:7" ht="15.75">
      <c r="A21" s="27">
        <f>+A20+1</f>
        <v>4</v>
      </c>
      <c r="B21" s="28"/>
      <c r="C21" s="91" t="s">
        <v>418</v>
      </c>
      <c r="D21" s="35">
        <f>SUM(D18:D20)</f>
        <v>0</v>
      </c>
      <c r="E21" s="40"/>
      <c r="F21" s="40"/>
      <c r="G21" s="28"/>
    </row>
    <row r="22" spans="1:7" ht="15.75">
      <c r="A22" s="27"/>
      <c r="B22" s="28"/>
      <c r="C22" s="91"/>
      <c r="D22" s="97"/>
      <c r="E22" s="19"/>
      <c r="F22" s="19"/>
      <c r="G22" s="28"/>
    </row>
    <row r="23" spans="1:7" ht="15.75">
      <c r="A23" s="7"/>
      <c r="B23" s="28"/>
      <c r="C23" s="28" t="s">
        <v>199</v>
      </c>
      <c r="D23" s="103"/>
      <c r="E23" s="19"/>
      <c r="F23" s="19"/>
      <c r="G23" s="28"/>
    </row>
    <row r="24" spans="1:7" ht="15.75">
      <c r="A24" s="27">
        <f>+A21+1</f>
        <v>5</v>
      </c>
      <c r="B24" s="7"/>
      <c r="C24" s="109"/>
      <c r="D24" s="915"/>
      <c r="E24" s="19"/>
      <c r="F24" s="19"/>
      <c r="G24" s="28"/>
    </row>
    <row r="25" spans="1:7" ht="15.75">
      <c r="A25" s="110">
        <f>+A24+1</f>
        <v>6</v>
      </c>
      <c r="B25" s="7" t="s">
        <v>185</v>
      </c>
      <c r="C25" s="7" t="s">
        <v>182</v>
      </c>
      <c r="D25" s="394">
        <v>0</v>
      </c>
      <c r="E25" s="19"/>
      <c r="F25" s="19"/>
      <c r="G25" s="28"/>
    </row>
    <row r="26" spans="1:7" ht="15.75">
      <c r="A26" s="27">
        <f>+A25+1</f>
        <v>7</v>
      </c>
      <c r="B26" s="109" t="s">
        <v>186</v>
      </c>
      <c r="C26" s="109" t="s">
        <v>183</v>
      </c>
      <c r="D26" s="394">
        <v>1022745.88</v>
      </c>
      <c r="E26" s="19"/>
      <c r="F26" s="19"/>
      <c r="G26" s="28"/>
    </row>
    <row r="27" spans="1:7" ht="15.75">
      <c r="A27" s="110">
        <f t="shared" ref="A27:A32" si="0">+A26+1</f>
        <v>8</v>
      </c>
      <c r="B27" s="7" t="s">
        <v>187</v>
      </c>
      <c r="C27" s="7" t="s">
        <v>184</v>
      </c>
      <c r="D27" s="394">
        <v>56880.73</v>
      </c>
      <c r="E27" s="19"/>
      <c r="F27" s="19"/>
      <c r="G27" s="28"/>
    </row>
    <row r="28" spans="1:7" ht="15.75">
      <c r="A28" s="27">
        <f t="shared" si="0"/>
        <v>9</v>
      </c>
      <c r="B28" s="109" t="s">
        <v>188</v>
      </c>
      <c r="C28" s="109" t="s">
        <v>192</v>
      </c>
      <c r="D28" s="394">
        <v>0</v>
      </c>
      <c r="E28" s="19"/>
      <c r="F28" s="19"/>
      <c r="G28" s="28"/>
    </row>
    <row r="29" spans="1:7" ht="15.75">
      <c r="A29" s="110">
        <f t="shared" si="0"/>
        <v>10</v>
      </c>
      <c r="B29" s="7" t="s">
        <v>189</v>
      </c>
      <c r="C29" s="7" t="s">
        <v>195</v>
      </c>
      <c r="D29" s="394">
        <v>232594.83000000002</v>
      </c>
      <c r="E29" s="19"/>
      <c r="F29" s="19"/>
      <c r="G29" s="28"/>
    </row>
    <row r="30" spans="1:7" ht="15.75">
      <c r="A30" s="27">
        <f t="shared" si="0"/>
        <v>11</v>
      </c>
      <c r="B30" s="109" t="s">
        <v>190</v>
      </c>
      <c r="C30" s="109" t="s">
        <v>196</v>
      </c>
      <c r="D30" s="394">
        <v>25.44</v>
      </c>
      <c r="E30" s="19"/>
      <c r="F30" s="19"/>
      <c r="G30" s="28"/>
    </row>
    <row r="31" spans="1:7" ht="15.75">
      <c r="A31" s="110">
        <f t="shared" si="0"/>
        <v>12</v>
      </c>
      <c r="B31" s="7" t="s">
        <v>191</v>
      </c>
      <c r="C31" s="7" t="s">
        <v>197</v>
      </c>
      <c r="D31" s="394">
        <v>0</v>
      </c>
      <c r="E31" s="19"/>
      <c r="F31" s="19"/>
      <c r="G31" s="28"/>
    </row>
    <row r="32" spans="1:7" ht="15.75">
      <c r="A32" s="27">
        <f t="shared" si="0"/>
        <v>13</v>
      </c>
      <c r="B32" s="109" t="s">
        <v>193</v>
      </c>
      <c r="C32" s="109" t="s">
        <v>198</v>
      </c>
      <c r="D32" s="394">
        <v>0</v>
      </c>
      <c r="E32" s="19"/>
      <c r="F32" s="19"/>
      <c r="G32" s="28"/>
    </row>
    <row r="33" spans="1:19" ht="15.75">
      <c r="A33" s="110">
        <f>+A32+1</f>
        <v>14</v>
      </c>
      <c r="B33" s="7"/>
      <c r="C33" s="15" t="s">
        <v>194</v>
      </c>
      <c r="D33" s="35">
        <f>SUM(D24:D32)</f>
        <v>1312246.8800000001</v>
      </c>
      <c r="E33" s="28"/>
      <c r="F33" s="28"/>
      <c r="G33" s="28"/>
    </row>
    <row r="34" spans="1:19" ht="15.75">
      <c r="A34" s="90"/>
      <c r="B34" s="39"/>
      <c r="C34" s="28"/>
      <c r="D34" s="28"/>
      <c r="E34" s="28"/>
      <c r="F34" s="28"/>
      <c r="G34" s="28"/>
    </row>
    <row r="35" spans="1:19" ht="15.75">
      <c r="A35" s="90"/>
      <c r="B35" s="27"/>
      <c r="C35" s="46" t="s">
        <v>502</v>
      </c>
      <c r="D35" s="21"/>
      <c r="E35" s="21"/>
      <c r="F35" s="21"/>
      <c r="G35" s="21"/>
    </row>
    <row r="36" spans="1:19">
      <c r="A36" s="27">
        <f>+A33+1</f>
        <v>15</v>
      </c>
      <c r="B36" s="702" t="s">
        <v>834</v>
      </c>
      <c r="C36" s="395" t="s">
        <v>835</v>
      </c>
      <c r="D36" s="394">
        <v>1972.31</v>
      </c>
      <c r="E36" s="19">
        <f t="shared" ref="E36:E38" si="1">+D36</f>
        <v>1972.31</v>
      </c>
      <c r="F36" s="19">
        <v>0</v>
      </c>
      <c r="G36" s="18"/>
    </row>
    <row r="37" spans="1:19">
      <c r="A37" s="27">
        <f>+A36+1</f>
        <v>16</v>
      </c>
      <c r="B37" s="702" t="s">
        <v>836</v>
      </c>
      <c r="C37" s="395" t="s">
        <v>837</v>
      </c>
      <c r="D37" s="394">
        <v>0</v>
      </c>
      <c r="E37" s="19">
        <f t="shared" si="1"/>
        <v>0</v>
      </c>
      <c r="F37" s="19">
        <v>0</v>
      </c>
      <c r="G37" s="18"/>
    </row>
    <row r="38" spans="1:19">
      <c r="A38" s="27">
        <f>+A37+1</f>
        <v>17</v>
      </c>
      <c r="B38" s="702" t="s">
        <v>838</v>
      </c>
      <c r="C38" s="395" t="s">
        <v>839</v>
      </c>
      <c r="D38" s="394">
        <v>-3454.35</v>
      </c>
      <c r="E38" s="19">
        <f t="shared" si="1"/>
        <v>-3454.35</v>
      </c>
      <c r="F38" s="19">
        <v>0</v>
      </c>
      <c r="G38" s="18"/>
    </row>
    <row r="39" spans="1:19">
      <c r="A39" s="27">
        <f>+A38+1</f>
        <v>18</v>
      </c>
      <c r="B39" s="702" t="s">
        <v>840</v>
      </c>
      <c r="C39" s="395" t="s">
        <v>841</v>
      </c>
      <c r="D39" s="394">
        <v>92903.62</v>
      </c>
      <c r="E39" s="19">
        <v>0</v>
      </c>
      <c r="F39" s="19">
        <f>D39</f>
        <v>92903.62</v>
      </c>
      <c r="G39" s="42"/>
    </row>
    <row r="40" spans="1:19">
      <c r="A40" s="27">
        <f>+A39+1</f>
        <v>19</v>
      </c>
      <c r="B40" s="702"/>
      <c r="C40" s="395"/>
      <c r="D40" s="394"/>
      <c r="E40" s="19"/>
      <c r="F40" s="19">
        <v>0</v>
      </c>
      <c r="G40" s="42"/>
    </row>
    <row r="41" spans="1:19">
      <c r="A41" s="27">
        <f>+A40+1</f>
        <v>20</v>
      </c>
      <c r="B41" s="702"/>
      <c r="C41" s="395"/>
      <c r="D41" s="394"/>
      <c r="E41" s="19"/>
      <c r="F41" s="19"/>
      <c r="G41" s="42"/>
    </row>
    <row r="42" spans="1:19">
      <c r="A42" s="27"/>
      <c r="B42" s="2"/>
      <c r="C42" s="37"/>
      <c r="D42" s="19"/>
      <c r="E42" s="19"/>
      <c r="F42" s="19"/>
      <c r="G42" s="18"/>
    </row>
    <row r="43" spans="1:19" ht="12.75" customHeight="1">
      <c r="A43" s="27"/>
      <c r="B43" s="20" t="s">
        <v>414</v>
      </c>
      <c r="C43" s="37"/>
      <c r="D43" s="22"/>
      <c r="E43" s="23"/>
      <c r="F43" s="24"/>
      <c r="G43" s="21"/>
    </row>
    <row r="44" spans="1:19" ht="15.75" customHeight="1">
      <c r="A44" s="27">
        <f>+A41+1</f>
        <v>21</v>
      </c>
      <c r="B44" s="25"/>
      <c r="C44" s="916" t="s">
        <v>631</v>
      </c>
      <c r="D44" s="35">
        <f>SUM(D36:D42)</f>
        <v>91421.58</v>
      </c>
      <c r="E44" s="35">
        <f>SUM(E36:E42)</f>
        <v>-1482.04</v>
      </c>
      <c r="F44" s="35">
        <f>SUM(F36:F42)</f>
        <v>92903.62</v>
      </c>
      <c r="G44" s="10"/>
    </row>
    <row r="45" spans="1:19" ht="12.75" customHeight="1">
      <c r="A45" s="27"/>
      <c r="B45" s="25"/>
      <c r="C45" s="26"/>
      <c r="D45" s="38"/>
      <c r="E45" s="12"/>
      <c r="F45" s="12"/>
      <c r="G45" s="21"/>
    </row>
    <row r="46" spans="1:19" ht="15.75">
      <c r="A46" s="27"/>
      <c r="B46" s="27"/>
      <c r="C46" s="46" t="s">
        <v>501</v>
      </c>
      <c r="D46" s="12"/>
      <c r="E46" s="12"/>
      <c r="F46" s="12"/>
      <c r="G46" s="21"/>
    </row>
    <row r="47" spans="1:19">
      <c r="A47" s="27">
        <f>+A44+1</f>
        <v>22</v>
      </c>
      <c r="B47" s="702" t="s">
        <v>842</v>
      </c>
      <c r="C47" s="395" t="s">
        <v>843</v>
      </c>
      <c r="D47" s="396">
        <v>1512.89</v>
      </c>
      <c r="E47" s="19">
        <f>+D47</f>
        <v>1512.89</v>
      </c>
      <c r="F47" s="19">
        <v>0</v>
      </c>
      <c r="G47"/>
      <c r="M47" s="9"/>
      <c r="N47" s="9"/>
      <c r="O47" s="11"/>
      <c r="P47" s="11"/>
      <c r="Q47" s="11"/>
      <c r="R47" s="11"/>
      <c r="S47" s="11"/>
    </row>
    <row r="48" spans="1:19">
      <c r="A48" s="27">
        <f>+A47+1</f>
        <v>23</v>
      </c>
      <c r="B48" s="702" t="s">
        <v>844</v>
      </c>
      <c r="C48" s="395" t="s">
        <v>845</v>
      </c>
      <c r="D48" s="396">
        <v>0</v>
      </c>
      <c r="E48" s="19">
        <f t="shared" ref="E48:E50" si="2">+D48</f>
        <v>0</v>
      </c>
      <c r="F48" s="19">
        <v>0</v>
      </c>
      <c r="G48"/>
      <c r="M48" s="9"/>
      <c r="N48" s="9"/>
      <c r="O48" s="11"/>
      <c r="P48" s="11"/>
      <c r="Q48" s="11"/>
      <c r="R48" s="11"/>
      <c r="S48" s="11"/>
    </row>
    <row r="49" spans="1:19">
      <c r="A49" s="27">
        <f t="shared" ref="A49:A62" si="3">+A48+1</f>
        <v>24</v>
      </c>
      <c r="B49" s="1129" t="s">
        <v>1077</v>
      </c>
      <c r="C49" s="395" t="s">
        <v>1078</v>
      </c>
      <c r="D49" s="396">
        <v>519.4</v>
      </c>
      <c r="E49" s="19">
        <f t="shared" si="2"/>
        <v>519.4</v>
      </c>
      <c r="F49" s="19">
        <v>0</v>
      </c>
      <c r="G49"/>
      <c r="M49" s="9"/>
      <c r="N49" s="9"/>
      <c r="O49" s="11"/>
      <c r="P49" s="11"/>
      <c r="Q49" s="11"/>
      <c r="R49" s="11"/>
      <c r="S49" s="11"/>
    </row>
    <row r="50" spans="1:19">
      <c r="A50" s="27">
        <f t="shared" si="3"/>
        <v>25</v>
      </c>
      <c r="B50" s="702" t="s">
        <v>846</v>
      </c>
      <c r="C50" s="395" t="s">
        <v>847</v>
      </c>
      <c r="D50" s="396">
        <v>1.4000000000000001</v>
      </c>
      <c r="E50" s="19">
        <f t="shared" si="2"/>
        <v>1.4000000000000001</v>
      </c>
      <c r="F50" s="19">
        <v>0</v>
      </c>
      <c r="G50"/>
      <c r="M50" s="9"/>
      <c r="N50" s="9"/>
      <c r="O50" s="11"/>
      <c r="P50" s="11"/>
      <c r="Q50" s="11"/>
      <c r="R50" s="11"/>
      <c r="S50" s="11"/>
    </row>
    <row r="51" spans="1:19">
      <c r="A51" s="27">
        <f t="shared" si="3"/>
        <v>26</v>
      </c>
      <c r="B51" s="702"/>
      <c r="C51" s="395"/>
      <c r="D51" s="396"/>
      <c r="E51" s="19"/>
      <c r="F51" s="19"/>
      <c r="G51"/>
      <c r="M51" s="9"/>
      <c r="N51" s="9"/>
      <c r="O51" s="11"/>
      <c r="P51" s="11"/>
      <c r="Q51" s="11"/>
      <c r="R51" s="11"/>
      <c r="S51" s="11"/>
    </row>
    <row r="52" spans="1:19">
      <c r="A52" s="27">
        <f t="shared" si="3"/>
        <v>27</v>
      </c>
      <c r="B52" s="702"/>
      <c r="C52" s="395"/>
      <c r="D52" s="396"/>
      <c r="E52" s="19"/>
      <c r="F52" s="19"/>
      <c r="G52"/>
      <c r="M52" s="9"/>
      <c r="N52" s="9"/>
      <c r="O52" s="11"/>
      <c r="P52" s="11"/>
      <c r="Q52" s="11"/>
      <c r="R52" s="11"/>
      <c r="S52" s="11"/>
    </row>
    <row r="53" spans="1:19">
      <c r="A53" s="27">
        <f t="shared" si="3"/>
        <v>28</v>
      </c>
      <c r="B53" s="702"/>
      <c r="C53" s="395"/>
      <c r="D53" s="396"/>
      <c r="E53" s="19"/>
      <c r="F53" s="19"/>
      <c r="G53"/>
      <c r="M53" s="9"/>
      <c r="N53" s="9"/>
      <c r="O53" s="11"/>
      <c r="P53" s="11"/>
      <c r="Q53" s="11"/>
      <c r="R53" s="11"/>
      <c r="S53" s="11"/>
    </row>
    <row r="54" spans="1:19">
      <c r="A54" s="27">
        <f t="shared" si="3"/>
        <v>29</v>
      </c>
      <c r="B54" s="702"/>
      <c r="C54" s="395"/>
      <c r="D54" s="396"/>
      <c r="E54" s="19"/>
      <c r="F54" s="19"/>
      <c r="G54"/>
      <c r="M54" s="9"/>
      <c r="N54" s="9"/>
      <c r="O54" s="11"/>
      <c r="P54" s="11"/>
      <c r="Q54" s="11"/>
      <c r="R54" s="11"/>
      <c r="S54" s="11"/>
    </row>
    <row r="55" spans="1:19">
      <c r="A55" s="27">
        <f t="shared" si="3"/>
        <v>30</v>
      </c>
      <c r="B55" s="702"/>
      <c r="C55" s="395"/>
      <c r="D55" s="396"/>
      <c r="E55" s="19"/>
      <c r="F55" s="19"/>
      <c r="G55"/>
      <c r="M55" s="9"/>
      <c r="N55" s="9"/>
      <c r="O55" s="11"/>
      <c r="P55" s="11"/>
      <c r="Q55" s="11"/>
      <c r="R55" s="11"/>
      <c r="S55" s="11"/>
    </row>
    <row r="56" spans="1:19">
      <c r="A56" s="27">
        <f t="shared" si="3"/>
        <v>31</v>
      </c>
      <c r="B56" s="702"/>
      <c r="C56" s="395"/>
      <c r="D56" s="396"/>
      <c r="E56" s="19"/>
      <c r="F56" s="19"/>
      <c r="G56"/>
      <c r="M56" s="9"/>
      <c r="N56" s="9"/>
      <c r="O56" s="11"/>
      <c r="P56" s="11"/>
      <c r="Q56" s="11"/>
      <c r="R56" s="11"/>
      <c r="S56" s="11"/>
    </row>
    <row r="57" spans="1:19">
      <c r="A57" s="27">
        <f t="shared" si="3"/>
        <v>32</v>
      </c>
      <c r="B57" s="702"/>
      <c r="C57" s="395"/>
      <c r="D57" s="396"/>
      <c r="E57" s="19"/>
      <c r="F57" s="22"/>
      <c r="G57"/>
      <c r="M57" s="9"/>
      <c r="N57" s="9"/>
      <c r="O57" s="11"/>
      <c r="P57" s="11"/>
      <c r="Q57" s="11"/>
      <c r="R57" s="11"/>
      <c r="S57" s="11"/>
    </row>
    <row r="58" spans="1:19">
      <c r="A58" s="27">
        <f t="shared" si="3"/>
        <v>33</v>
      </c>
      <c r="B58" s="702"/>
      <c r="C58" s="395"/>
      <c r="D58" s="396"/>
      <c r="E58" s="19"/>
      <c r="F58" s="22"/>
      <c r="G58"/>
    </row>
    <row r="59" spans="1:19">
      <c r="A59" s="27">
        <f t="shared" si="3"/>
        <v>34</v>
      </c>
      <c r="B59" s="702"/>
      <c r="C59" s="395"/>
      <c r="D59" s="396"/>
      <c r="E59" s="19"/>
      <c r="F59" s="22"/>
      <c r="G59" s="21"/>
    </row>
    <row r="60" spans="1:19">
      <c r="A60" s="27">
        <f t="shared" si="3"/>
        <v>35</v>
      </c>
      <c r="B60" s="702"/>
      <c r="C60" s="395"/>
      <c r="D60" s="396"/>
      <c r="E60" s="19"/>
      <c r="F60" s="22"/>
      <c r="G60" s="21"/>
    </row>
    <row r="61" spans="1:19">
      <c r="A61" s="27">
        <f t="shared" si="3"/>
        <v>36</v>
      </c>
      <c r="B61" s="702"/>
      <c r="C61" s="395"/>
      <c r="D61" s="396"/>
      <c r="E61" s="19"/>
      <c r="F61" s="22"/>
      <c r="G61" s="21"/>
    </row>
    <row r="62" spans="1:19">
      <c r="A62" s="27">
        <f t="shared" si="3"/>
        <v>37</v>
      </c>
      <c r="B62" s="702"/>
      <c r="C62" s="395"/>
      <c r="D62" s="396"/>
      <c r="E62" s="19"/>
      <c r="F62" s="22"/>
      <c r="G62" s="21"/>
    </row>
    <row r="63" spans="1:19">
      <c r="A63" s="27"/>
      <c r="B63" s="20"/>
      <c r="C63" s="21"/>
      <c r="D63" s="29"/>
      <c r="E63" s="30"/>
      <c r="F63" s="29"/>
      <c r="G63" s="21"/>
    </row>
    <row r="64" spans="1:19" ht="15.75">
      <c r="A64" s="27">
        <f>+A62+1</f>
        <v>38</v>
      </c>
      <c r="B64" s="25"/>
      <c r="C64" s="916" t="s">
        <v>632</v>
      </c>
      <c r="D64" s="31">
        <f>SUM(D47:D63)</f>
        <v>2033.69</v>
      </c>
      <c r="E64" s="31">
        <f>SUM(E47:E63)</f>
        <v>2033.69</v>
      </c>
      <c r="F64" s="31">
        <f>SUM(F47:F63)</f>
        <v>0</v>
      </c>
      <c r="G64" s="10"/>
    </row>
    <row r="65" spans="1:11" ht="12.75" customHeight="1">
      <c r="A65" s="27"/>
      <c r="B65" s="16"/>
      <c r="C65" s="16"/>
      <c r="D65" s="16"/>
      <c r="E65" s="16"/>
      <c r="F65" s="16"/>
      <c r="G65" s="16"/>
    </row>
    <row r="66" spans="1:11" ht="15.75">
      <c r="A66" s="27"/>
      <c r="B66" s="15"/>
      <c r="C66" s="46" t="s">
        <v>500</v>
      </c>
      <c r="D66" s="32"/>
      <c r="E66" s="32"/>
      <c r="F66" s="32"/>
      <c r="G66" s="15"/>
    </row>
    <row r="67" spans="1:11">
      <c r="A67" s="27">
        <f>+A64+1</f>
        <v>39</v>
      </c>
      <c r="B67" s="954" t="s">
        <v>848</v>
      </c>
      <c r="C67" s="395" t="s">
        <v>805</v>
      </c>
      <c r="D67" s="396">
        <v>158872.90700000001</v>
      </c>
      <c r="E67" s="19">
        <f>D67</f>
        <v>158872.90700000001</v>
      </c>
      <c r="F67" s="22">
        <v>0</v>
      </c>
      <c r="G67" s="9"/>
      <c r="H67" s="9"/>
      <c r="J67" s="11"/>
      <c r="K67" s="11"/>
    </row>
    <row r="68" spans="1:11">
      <c r="A68" s="27">
        <f>+A67+1</f>
        <v>40</v>
      </c>
      <c r="B68" s="954" t="s">
        <v>849</v>
      </c>
      <c r="C68" s="395" t="s">
        <v>806</v>
      </c>
      <c r="D68" s="396">
        <v>53577.41</v>
      </c>
      <c r="E68" s="19">
        <f>D68</f>
        <v>53577.41</v>
      </c>
      <c r="F68" s="22">
        <v>0</v>
      </c>
      <c r="G68" s="9"/>
      <c r="H68" s="9"/>
      <c r="J68" s="11"/>
      <c r="K68" s="11"/>
    </row>
    <row r="69" spans="1:11">
      <c r="A69" s="27">
        <f t="shared" ref="A69:A71" si="4">+A68+1</f>
        <v>41</v>
      </c>
      <c r="B69" s="954" t="s">
        <v>927</v>
      </c>
      <c r="C69" s="395" t="s">
        <v>928</v>
      </c>
      <c r="D69" s="396">
        <v>0</v>
      </c>
      <c r="E69" s="19">
        <f>D69</f>
        <v>0</v>
      </c>
      <c r="F69" s="22">
        <v>0</v>
      </c>
      <c r="G69" s="9"/>
      <c r="H69" s="9"/>
      <c r="J69" s="11"/>
      <c r="K69" s="11"/>
    </row>
    <row r="70" spans="1:11">
      <c r="A70" s="27">
        <f t="shared" si="4"/>
        <v>42</v>
      </c>
      <c r="B70" s="954" t="s">
        <v>850</v>
      </c>
      <c r="C70" s="395" t="s">
        <v>807</v>
      </c>
      <c r="D70" s="396">
        <v>8542.5499999999993</v>
      </c>
      <c r="E70" s="19">
        <v>0</v>
      </c>
      <c r="F70" s="22">
        <f>D70</f>
        <v>8542.5499999999993</v>
      </c>
      <c r="G70" s="9"/>
      <c r="H70" s="9"/>
      <c r="J70" s="11"/>
      <c r="K70" s="11"/>
    </row>
    <row r="71" spans="1:11">
      <c r="A71" s="27">
        <f t="shared" si="4"/>
        <v>43</v>
      </c>
      <c r="B71" s="954" t="s">
        <v>929</v>
      </c>
      <c r="C71" s="395" t="s">
        <v>930</v>
      </c>
      <c r="D71" s="396">
        <v>0</v>
      </c>
      <c r="E71" s="19">
        <f>D71</f>
        <v>0</v>
      </c>
      <c r="F71" s="22">
        <v>0</v>
      </c>
      <c r="G71" s="16"/>
    </row>
    <row r="72" spans="1:11">
      <c r="A72" s="27"/>
      <c r="B72" s="16"/>
      <c r="C72" s="16"/>
      <c r="D72" s="16"/>
      <c r="E72" s="16"/>
      <c r="F72" s="16"/>
      <c r="G72" s="16"/>
    </row>
    <row r="73" spans="1:11" ht="15.75">
      <c r="A73" s="27">
        <f>+A71+1</f>
        <v>44</v>
      </c>
      <c r="B73" s="16"/>
      <c r="C73" s="916" t="s">
        <v>633</v>
      </c>
      <c r="D73" s="31">
        <f>SUM(D67:D72)</f>
        <v>220992.867</v>
      </c>
      <c r="E73" s="31">
        <f>SUM(E67:E72)</f>
        <v>212450.31700000001</v>
      </c>
      <c r="F73" s="31">
        <f>SUM(F67:F72)</f>
        <v>8542.5499999999993</v>
      </c>
      <c r="G73" s="10"/>
    </row>
    <row r="74" spans="1:11">
      <c r="A74" s="27"/>
      <c r="B74" s="41"/>
      <c r="C74"/>
      <c r="D74"/>
      <c r="E74"/>
      <c r="F74"/>
      <c r="G74"/>
    </row>
    <row r="75" spans="1:11" ht="12.75">
      <c r="A75" s="41"/>
      <c r="B75"/>
      <c r="C75"/>
      <c r="D75"/>
      <c r="E75"/>
      <c r="F75"/>
    </row>
    <row r="76" spans="1:11" ht="12.75">
      <c r="A76" s="41"/>
      <c r="B76"/>
      <c r="C76"/>
      <c r="D76"/>
      <c r="E76"/>
      <c r="F76"/>
    </row>
  </sheetData>
  <mergeCells count="6">
    <mergeCell ref="A3:G3"/>
    <mergeCell ref="A8:G8"/>
    <mergeCell ref="A7:F7"/>
    <mergeCell ref="A4:G4"/>
    <mergeCell ref="A5:G5"/>
    <mergeCell ref="A6:G6"/>
  </mergeCells>
  <phoneticPr fontId="0" type="noConversion"/>
  <pageMargins left="1.27" right="1.28" top="0.8" bottom="0.67" header="0.75" footer="0.4"/>
  <pageSetup scale="47" orientation="landscape"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O241"/>
  <sheetViews>
    <sheetView tabSelected="1" zoomScaleNormal="100" workbookViewId="0">
      <selection activeCell="O54" sqref="O54"/>
    </sheetView>
  </sheetViews>
  <sheetFormatPr defaultColWidth="8.85546875"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28515625" bestFit="1" customWidth="1"/>
  </cols>
  <sheetData>
    <row r="1" spans="1:15" ht="15.75">
      <c r="A1" s="738" t="s">
        <v>414</v>
      </c>
    </row>
    <row r="2" spans="1:15" ht="15.75">
      <c r="A2" s="738" t="s">
        <v>414</v>
      </c>
    </row>
    <row r="3" spans="1:15" ht="15">
      <c r="A3" s="1161" t="str">
        <f>TCOS!$F$5</f>
        <v>AEPTCo subsidiaries in PJM</v>
      </c>
      <c r="B3" s="1161" t="str">
        <f>TCOS!$F$5</f>
        <v>AEPTCo subsidiaries in PJM</v>
      </c>
      <c r="C3" s="1161" t="str">
        <f>TCOS!$F$5</f>
        <v>AEPTCo subsidiaries in PJM</v>
      </c>
      <c r="D3" s="1161" t="str">
        <f>TCOS!$F$5</f>
        <v>AEPTCo subsidiaries in PJM</v>
      </c>
      <c r="E3" s="1161" t="str">
        <f>TCOS!$F$5</f>
        <v>AEPTCo subsidiaries in PJM</v>
      </c>
      <c r="F3" s="1161" t="str">
        <f>TCOS!$F$5</f>
        <v>AEPTCo subsidiaries in PJM</v>
      </c>
      <c r="G3" s="1161" t="str">
        <f>TCOS!$F$5</f>
        <v>AEPTCo subsidiaries in PJM</v>
      </c>
      <c r="H3" s="1161" t="str">
        <f>TCOS!$F$5</f>
        <v>AEPTCo subsidiaries in PJM</v>
      </c>
    </row>
    <row r="4" spans="1:15" ht="15">
      <c r="A4" s="1162" t="str">
        <f>"Cost of Service Formula Rate Using Actual/Projected FF1 Balances"</f>
        <v>Cost of Service Formula Rate Using Actual/Projected FF1 Balances</v>
      </c>
      <c r="B4" s="1162"/>
      <c r="C4" s="1162"/>
      <c r="D4" s="1162"/>
      <c r="E4" s="1162"/>
      <c r="F4" s="1162"/>
      <c r="G4" s="1162"/>
      <c r="H4" s="1162"/>
    </row>
    <row r="5" spans="1:15" ht="15">
      <c r="A5" s="1162" t="s">
        <v>336</v>
      </c>
      <c r="B5" s="1162"/>
      <c r="C5" s="1162"/>
      <c r="D5" s="1162"/>
      <c r="E5" s="1162"/>
      <c r="F5" s="1162"/>
      <c r="G5" s="1162"/>
      <c r="H5" s="1162"/>
    </row>
    <row r="6" spans="1:15" ht="15">
      <c r="A6" s="1173" t="str">
        <f>TCOS!F9</f>
        <v>AEP Indiana Michigan Transmission Company</v>
      </c>
      <c r="B6" s="1173"/>
      <c r="C6" s="1173"/>
      <c r="D6" s="1173"/>
      <c r="E6" s="1173"/>
      <c r="F6" s="1173"/>
      <c r="G6" s="1173"/>
    </row>
    <row r="7" spans="1:15" ht="12.75" customHeight="1">
      <c r="A7" s="6"/>
      <c r="B7" s="397"/>
      <c r="C7" s="397"/>
      <c r="D7" s="397"/>
      <c r="E7" s="397"/>
      <c r="F7" s="397"/>
      <c r="G7" s="397"/>
      <c r="H7" s="397"/>
      <c r="I7" s="397"/>
      <c r="J7" s="397"/>
      <c r="O7" s="398"/>
    </row>
    <row r="8" spans="1:15" ht="12.75" customHeight="1">
      <c r="A8" s="6"/>
      <c r="B8" s="17"/>
      <c r="C8" s="133"/>
      <c r="D8" s="133"/>
      <c r="E8" s="133"/>
      <c r="F8" s="133"/>
    </row>
    <row r="9" spans="1:15" ht="15">
      <c r="A9" s="399">
        <v>1</v>
      </c>
      <c r="B9" s="408" t="s">
        <v>825</v>
      </c>
      <c r="C9" s="400"/>
      <c r="D9" s="401"/>
      <c r="E9" s="406">
        <v>4.9000000000000002E-2</v>
      </c>
      <c r="F9" s="133"/>
      <c r="G9" s="402"/>
      <c r="H9" s="402"/>
      <c r="L9" s="1"/>
    </row>
    <row r="10" spans="1:15" ht="15">
      <c r="A10" s="1"/>
      <c r="B10" s="133" t="s">
        <v>619</v>
      </c>
      <c r="C10" s="400"/>
      <c r="D10" s="400"/>
      <c r="E10" s="407">
        <v>0.89380000000000004</v>
      </c>
      <c r="F10" s="133"/>
      <c r="G10" s="402"/>
      <c r="H10" s="402"/>
      <c r="L10" s="1"/>
    </row>
    <row r="11" spans="1:15" ht="15">
      <c r="A11" s="1"/>
      <c r="B11" s="133" t="s">
        <v>236</v>
      </c>
      <c r="C11" s="400"/>
      <c r="D11" s="400"/>
      <c r="E11" s="133"/>
      <c r="F11" s="403">
        <f>ROUND(E9*E10,6)</f>
        <v>4.3796000000000002E-2</v>
      </c>
      <c r="G11" s="402"/>
      <c r="L11" s="1"/>
    </row>
    <row r="12" spans="1:15" ht="15">
      <c r="A12" s="1"/>
      <c r="B12" s="133"/>
      <c r="C12" s="400"/>
      <c r="D12" s="400"/>
      <c r="E12" s="133"/>
      <c r="F12" s="403"/>
      <c r="G12" s="402"/>
      <c r="L12" s="1"/>
    </row>
    <row r="13" spans="1:15" ht="15">
      <c r="A13" s="1">
        <f>A9+1</f>
        <v>2</v>
      </c>
      <c r="B13" s="408" t="s">
        <v>826</v>
      </c>
      <c r="C13" s="400"/>
      <c r="D13" s="401"/>
      <c r="E13" s="406">
        <v>0.06</v>
      </c>
      <c r="F13" s="133"/>
      <c r="G13" s="402"/>
      <c r="L13" s="1"/>
    </row>
    <row r="14" spans="1:15" ht="15">
      <c r="A14" s="1"/>
      <c r="B14" s="133" t="s">
        <v>619</v>
      </c>
      <c r="C14" s="400"/>
      <c r="D14" s="400"/>
      <c r="E14" s="407">
        <v>0.1003</v>
      </c>
      <c r="F14" s="133"/>
      <c r="G14" s="402"/>
      <c r="L14" s="1"/>
    </row>
    <row r="15" spans="1:15" ht="15">
      <c r="A15" s="1"/>
      <c r="B15" s="133" t="s">
        <v>236</v>
      </c>
      <c r="C15" s="400"/>
      <c r="D15" s="400"/>
      <c r="E15" s="133"/>
      <c r="F15" s="403">
        <f>ROUND(E13*E14,6)</f>
        <v>6.0179999999999999E-3</v>
      </c>
      <c r="G15" s="402"/>
      <c r="L15" s="1"/>
    </row>
    <row r="16" spans="1:15" ht="15">
      <c r="A16" s="1"/>
      <c r="B16" s="133"/>
      <c r="C16" s="400"/>
      <c r="D16" s="400"/>
      <c r="E16" s="133"/>
      <c r="F16" s="403"/>
      <c r="G16" s="402"/>
      <c r="L16" s="1"/>
    </row>
    <row r="17" spans="1:12" ht="15">
      <c r="A17" s="1">
        <f>A13+1</f>
        <v>3</v>
      </c>
      <c r="B17" s="408" t="s">
        <v>113</v>
      </c>
      <c r="C17" s="400"/>
      <c r="D17" s="401"/>
      <c r="E17" s="406"/>
      <c r="F17" s="133"/>
      <c r="G17" s="402"/>
      <c r="L17" s="1"/>
    </row>
    <row r="18" spans="1:12" ht="15">
      <c r="A18" s="1"/>
      <c r="B18" s="133" t="s">
        <v>619</v>
      </c>
      <c r="C18" s="400"/>
      <c r="D18" s="400"/>
      <c r="E18" s="407"/>
      <c r="F18" s="133"/>
      <c r="G18" s="402"/>
      <c r="L18" s="1"/>
    </row>
    <row r="19" spans="1:12" ht="15">
      <c r="A19" s="1"/>
      <c r="B19" s="133" t="s">
        <v>236</v>
      </c>
      <c r="C19" s="400"/>
      <c r="D19" s="400"/>
      <c r="E19" s="133"/>
      <c r="F19" s="403">
        <f>ROUND(E17*E18,6)</f>
        <v>0</v>
      </c>
      <c r="G19" s="402"/>
      <c r="L19" s="1"/>
    </row>
    <row r="20" spans="1:12" ht="15">
      <c r="A20" s="1"/>
      <c r="B20" s="133"/>
      <c r="C20" s="400"/>
      <c r="D20" s="400"/>
      <c r="E20" s="133"/>
      <c r="F20" s="403"/>
      <c r="G20" s="402"/>
      <c r="L20" s="1"/>
    </row>
    <row r="21" spans="1:12" ht="15">
      <c r="A21" s="1">
        <f>A17+1</f>
        <v>4</v>
      </c>
      <c r="B21" s="408" t="s">
        <v>113</v>
      </c>
      <c r="C21" s="400"/>
      <c r="D21" s="401"/>
      <c r="E21" s="406"/>
      <c r="F21" s="133"/>
      <c r="G21" s="402"/>
      <c r="L21" s="1"/>
    </row>
    <row r="22" spans="1:12" ht="15">
      <c r="A22" s="1"/>
      <c r="B22" s="133" t="s">
        <v>619</v>
      </c>
      <c r="C22" s="400"/>
      <c r="D22" s="400"/>
      <c r="E22" s="407"/>
      <c r="F22" s="133"/>
      <c r="G22" s="402"/>
      <c r="L22" s="1"/>
    </row>
    <row r="23" spans="1:12" ht="15">
      <c r="A23" s="1"/>
      <c r="B23" s="133" t="s">
        <v>236</v>
      </c>
      <c r="C23" s="400"/>
      <c r="D23" s="400"/>
      <c r="E23" s="133"/>
      <c r="F23" s="403">
        <f>ROUND(E21*E22,6)</f>
        <v>0</v>
      </c>
      <c r="G23" s="402"/>
      <c r="L23" s="1"/>
    </row>
    <row r="24" spans="1:12" ht="15">
      <c r="A24" s="1"/>
      <c r="B24" s="133"/>
      <c r="C24" s="400"/>
      <c r="D24" s="400"/>
      <c r="E24" s="133"/>
      <c r="F24" s="403"/>
      <c r="G24" s="402"/>
      <c r="L24" s="1"/>
    </row>
    <row r="25" spans="1:12" ht="15">
      <c r="A25" s="1">
        <f>A21+1</f>
        <v>5</v>
      </c>
      <c r="B25" s="408" t="s">
        <v>113</v>
      </c>
      <c r="C25" s="400"/>
      <c r="D25" s="401"/>
      <c r="E25" s="406"/>
      <c r="F25" s="404"/>
      <c r="G25" s="402"/>
      <c r="L25" s="1"/>
    </row>
    <row r="26" spans="1:12" ht="15">
      <c r="A26" s="1"/>
      <c r="B26" s="133" t="s">
        <v>619</v>
      </c>
      <c r="C26" s="400"/>
      <c r="D26" s="400"/>
      <c r="E26" s="407"/>
      <c r="F26" s="404"/>
      <c r="G26" s="402"/>
      <c r="L26" s="1"/>
    </row>
    <row r="27" spans="1:12" ht="15">
      <c r="A27" s="1"/>
      <c r="B27" s="133" t="s">
        <v>236</v>
      </c>
      <c r="C27" s="400"/>
      <c r="D27" s="400"/>
      <c r="E27" s="133"/>
      <c r="F27" s="403">
        <f>ROUND(E25*E26,6)</f>
        <v>0</v>
      </c>
      <c r="G27" s="402"/>
      <c r="L27" s="1"/>
    </row>
    <row r="28" spans="1:12" ht="15">
      <c r="A28" s="1"/>
      <c r="B28" s="133"/>
      <c r="C28" s="400"/>
      <c r="D28" s="400"/>
      <c r="E28" s="400"/>
      <c r="F28" s="404"/>
      <c r="G28" s="402"/>
      <c r="L28" s="1"/>
    </row>
    <row r="29" spans="1:12" ht="15.75" thickBot="1">
      <c r="A29" s="1"/>
      <c r="B29" s="133" t="s">
        <v>493</v>
      </c>
      <c r="C29" s="133"/>
      <c r="D29" s="133"/>
      <c r="E29" s="133"/>
      <c r="F29" s="405">
        <f>SUM(F11:F27)</f>
        <v>4.9814000000000004E-2</v>
      </c>
      <c r="G29" s="402"/>
      <c r="L29" s="1"/>
    </row>
    <row r="30" spans="1:12" ht="13.5" thickTop="1">
      <c r="A30" s="1"/>
      <c r="L30" s="1"/>
    </row>
    <row r="31" spans="1:12">
      <c r="A31" s="1"/>
      <c r="L31" s="1"/>
    </row>
    <row r="32" spans="1:12">
      <c r="A32" s="1"/>
      <c r="L32" s="1"/>
    </row>
    <row r="33" spans="1:12" ht="12.75" customHeight="1">
      <c r="A33" s="1"/>
      <c r="C33" s="133"/>
      <c r="D33" s="133"/>
      <c r="E33" s="133"/>
      <c r="F33" s="133"/>
      <c r="L33" s="1"/>
    </row>
    <row r="34" spans="1:12">
      <c r="A34" s="3" t="s">
        <v>295</v>
      </c>
      <c r="B34" s="3" t="s">
        <v>200</v>
      </c>
      <c r="C34" s="3"/>
      <c r="D34" s="3"/>
      <c r="E34" s="3"/>
      <c r="F34" s="3"/>
      <c r="G34" s="3"/>
    </row>
    <row r="241" spans="2:2">
      <c r="B241" t="s">
        <v>31</v>
      </c>
    </row>
  </sheetData>
  <mergeCells count="4">
    <mergeCell ref="A6:G6"/>
    <mergeCell ref="A3:H3"/>
    <mergeCell ref="A4:H4"/>
    <mergeCell ref="A5:H5"/>
  </mergeCells>
  <phoneticPr fontId="0" type="noConversion"/>
  <pageMargins left="0.26" right="1.28" top="1" bottom="1" header="0.75" footer="0.5"/>
  <pageSetup scale="90"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C216"/>
  <sheetViews>
    <sheetView tabSelected="1" view="pageBreakPreview" topLeftCell="A38" zoomScale="60" zoomScaleNormal="80" zoomScalePageLayoutView="50" workbookViewId="0">
      <selection activeCell="O54" sqref="O54"/>
    </sheetView>
  </sheetViews>
  <sheetFormatPr defaultRowHeight="15"/>
  <cols>
    <col min="1" max="1" width="7.28515625" style="59" customWidth="1"/>
    <col min="2" max="2" width="1.7109375" style="50" customWidth="1"/>
    <col min="3" max="3" width="62.42578125" style="50" customWidth="1"/>
    <col min="4" max="4" width="11" style="50" customWidth="1"/>
    <col min="5" max="5" width="20.42578125" style="55" customWidth="1"/>
    <col min="6" max="6" width="1.7109375" style="50" customWidth="1"/>
    <col min="7" max="7" width="20" style="50" bestFit="1" customWidth="1"/>
    <col min="8" max="8" width="1.7109375" style="50" customWidth="1"/>
    <col min="9" max="9" width="21.42578125" style="50" customWidth="1"/>
    <col min="10" max="10" width="1.7109375" style="50" customWidth="1"/>
    <col min="11" max="11" width="17.7109375" style="50" bestFit="1" customWidth="1"/>
    <col min="12" max="12" width="3.42578125" style="50" customWidth="1"/>
    <col min="13" max="13" width="22.5703125" style="50" customWidth="1"/>
    <col min="14" max="14" width="1.28515625" style="50" customWidth="1"/>
    <col min="15" max="15" width="22.140625" style="409" customWidth="1"/>
    <col min="16" max="16384" width="9.140625" style="50"/>
  </cols>
  <sheetData>
    <row r="1" spans="1:29" ht="15.75">
      <c r="A1" s="738" t="s">
        <v>414</v>
      </c>
    </row>
    <row r="2" spans="1:29" ht="15.75">
      <c r="A2" s="738" t="s">
        <v>414</v>
      </c>
    </row>
    <row r="3" spans="1:29" ht="18.75" customHeight="1">
      <c r="A3" s="1161" t="str">
        <f>TCOS!$F$5</f>
        <v>AEPTCo subsidiaries in PJM</v>
      </c>
      <c r="B3" s="1161" t="str">
        <f>TCOS!$F$5</f>
        <v>AEPTCo subsidiaries in PJM</v>
      </c>
      <c r="C3" s="1161" t="str">
        <f>TCOS!$F$5</f>
        <v>AEPTCo subsidiaries in PJM</v>
      </c>
      <c r="D3" s="1161" t="str">
        <f>TCOS!$F$5</f>
        <v>AEPTCo subsidiaries in PJM</v>
      </c>
      <c r="E3" s="1161" t="str">
        <f>TCOS!$F$5</f>
        <v>AEPTCo subsidiaries in PJM</v>
      </c>
      <c r="F3" s="1161" t="str">
        <f>TCOS!$F$5</f>
        <v>AEPTCo subsidiaries in PJM</v>
      </c>
      <c r="G3" s="1161" t="str">
        <f>TCOS!$F$5</f>
        <v>AEPTCo subsidiaries in PJM</v>
      </c>
      <c r="H3" s="1161" t="str">
        <f>TCOS!$F$5</f>
        <v>AEPTCo subsidiaries in PJM</v>
      </c>
      <c r="I3" s="1161" t="str">
        <f>TCOS!$F$5</f>
        <v>AEPTCo subsidiaries in PJM</v>
      </c>
      <c r="J3" s="1161" t="str">
        <f>TCOS!$F$5</f>
        <v>AEPTCo subsidiaries in PJM</v>
      </c>
      <c r="K3" s="1161" t="str">
        <f>TCOS!$F$5</f>
        <v>AEPTCo subsidiaries in PJM</v>
      </c>
      <c r="L3" s="1161" t="str">
        <f>TCOS!$F$5</f>
        <v>AEPTCo subsidiaries in PJM</v>
      </c>
      <c r="M3" s="1161" t="str">
        <f>TCOS!$F$5</f>
        <v>AEPTCo subsidiaries in PJM</v>
      </c>
    </row>
    <row r="4" spans="1:29" ht="18.75" customHeight="1">
      <c r="A4" s="1162" t="str">
        <f>"Cost of Service Formula Rate Using Actual/Projected FF1 Balances"</f>
        <v>Cost of Service Formula Rate Using Actual/Projected FF1 Balances</v>
      </c>
      <c r="B4" s="1162"/>
      <c r="C4" s="1162"/>
      <c r="D4" s="1162"/>
      <c r="E4" s="1162"/>
      <c r="F4" s="1162"/>
      <c r="G4" s="1162"/>
      <c r="H4" s="1162"/>
      <c r="I4" s="1162"/>
      <c r="J4" s="1162"/>
      <c r="K4" s="1162"/>
      <c r="L4" s="1162"/>
      <c r="M4" s="1162"/>
    </row>
    <row r="5" spans="1:29" ht="18.75" customHeight="1">
      <c r="A5" s="1162" t="s">
        <v>255</v>
      </c>
      <c r="B5" s="1162"/>
      <c r="C5" s="1162"/>
      <c r="D5" s="1162"/>
      <c r="E5" s="1162"/>
      <c r="F5" s="1162"/>
      <c r="G5" s="1162"/>
      <c r="H5" s="1162"/>
      <c r="I5" s="1162"/>
      <c r="J5" s="1162"/>
      <c r="K5" s="1162"/>
      <c r="L5" s="1162"/>
      <c r="M5" s="1162"/>
    </row>
    <row r="6" spans="1:29" ht="18.75" customHeight="1">
      <c r="A6" s="1163" t="str">
        <f>TCOS!F9</f>
        <v>AEP Indiana Michigan Transmission Company</v>
      </c>
      <c r="B6" s="1163"/>
      <c r="C6" s="1163"/>
      <c r="D6" s="1163"/>
      <c r="E6" s="1163"/>
      <c r="F6" s="1163"/>
      <c r="G6" s="1163"/>
      <c r="H6" s="1163"/>
      <c r="I6" s="1163"/>
      <c r="J6" s="1163"/>
      <c r="K6" s="1163"/>
      <c r="L6" s="1163"/>
      <c r="M6" s="1163"/>
    </row>
    <row r="7" spans="1:29" ht="18" customHeight="1">
      <c r="A7" s="1173"/>
      <c r="B7" s="1173"/>
      <c r="C7" s="1173"/>
      <c r="D7" s="1173"/>
      <c r="E7" s="1173"/>
      <c r="F7" s="1173"/>
      <c r="G7" s="1173"/>
      <c r="H7" s="1173"/>
      <c r="I7" s="1173"/>
      <c r="J7" s="1173"/>
      <c r="K7" s="1173"/>
      <c r="L7" s="1173"/>
      <c r="M7" s="1173"/>
    </row>
    <row r="8" spans="1:29" ht="18" customHeight="1">
      <c r="A8" s="1200"/>
      <c r="B8" s="1200"/>
      <c r="C8" s="1200"/>
      <c r="D8" s="1200"/>
      <c r="E8" s="1200"/>
      <c r="F8" s="1200"/>
      <c r="G8" s="1200"/>
      <c r="H8" s="1200"/>
      <c r="I8" s="1200"/>
      <c r="J8" s="1200"/>
      <c r="K8" s="1200"/>
      <c r="L8" s="1200"/>
      <c r="M8" s="1200"/>
    </row>
    <row r="9" spans="1:29" ht="18" customHeight="1">
      <c r="A9" s="67"/>
      <c r="B9" s="67"/>
      <c r="C9" s="67"/>
      <c r="D9" s="67"/>
      <c r="E9" s="67"/>
      <c r="F9" s="67"/>
      <c r="G9" s="67"/>
      <c r="H9" s="67"/>
      <c r="I9" s="67"/>
      <c r="J9" s="67"/>
      <c r="K9" s="67"/>
      <c r="L9" s="67"/>
      <c r="M9" s="67"/>
    </row>
    <row r="10" spans="1:29" ht="19.5" customHeight="1">
      <c r="A10" s="52"/>
      <c r="B10" s="51"/>
      <c r="C10" s="15" t="s">
        <v>460</v>
      </c>
      <c r="E10" s="15" t="s">
        <v>461</v>
      </c>
      <c r="G10" s="15" t="s">
        <v>462</v>
      </c>
      <c r="I10" s="15" t="s">
        <v>463</v>
      </c>
      <c r="K10" s="15" t="s">
        <v>383</v>
      </c>
      <c r="M10" s="15" t="s">
        <v>384</v>
      </c>
    </row>
    <row r="11" spans="1:29" ht="18">
      <c r="A11" s="80"/>
      <c r="B11" s="81"/>
      <c r="C11" s="81"/>
      <c r="D11" s="81"/>
      <c r="E11"/>
      <c r="F11"/>
      <c r="G11"/>
      <c r="H11"/>
      <c r="I11"/>
      <c r="J11"/>
      <c r="K11"/>
      <c r="L11"/>
      <c r="M11"/>
      <c r="Q11" s="17"/>
      <c r="R11" s="17"/>
      <c r="S11" s="17"/>
      <c r="T11" s="17"/>
      <c r="U11" s="17"/>
      <c r="V11" s="17"/>
      <c r="W11" s="17"/>
      <c r="X11" s="17"/>
      <c r="Y11" s="17"/>
      <c r="Z11" s="17"/>
      <c r="AA11" s="17"/>
      <c r="AB11" s="17"/>
      <c r="AC11" s="17"/>
    </row>
    <row r="12" spans="1:29" ht="19.5">
      <c r="A12" s="80" t="s">
        <v>467</v>
      </c>
      <c r="B12" s="81"/>
      <c r="C12" s="81"/>
      <c r="D12" s="81"/>
      <c r="E12" s="82" t="s">
        <v>418</v>
      </c>
      <c r="F12" s="80"/>
      <c r="G12" s="80"/>
      <c r="H12" s="80"/>
      <c r="I12" s="80"/>
      <c r="J12" s="80"/>
      <c r="K12" s="54"/>
      <c r="L12" s="54"/>
      <c r="M12" s="410"/>
    </row>
    <row r="13" spans="1:29" ht="19.5">
      <c r="A13" s="83" t="s">
        <v>417</v>
      </c>
      <c r="B13" s="81"/>
      <c r="C13" s="83" t="s">
        <v>110</v>
      </c>
      <c r="D13" s="81"/>
      <c r="E13" s="84" t="s">
        <v>481</v>
      </c>
      <c r="F13" s="80"/>
      <c r="G13" s="83" t="s">
        <v>114</v>
      </c>
      <c r="H13" s="80"/>
      <c r="I13" s="83" t="s">
        <v>459</v>
      </c>
      <c r="J13" s="80"/>
      <c r="K13" s="411" t="s">
        <v>479</v>
      </c>
      <c r="L13" s="412"/>
      <c r="M13" s="411" t="s">
        <v>115</v>
      </c>
    </row>
    <row r="14" spans="1:29" ht="19.5">
      <c r="A14" s="52"/>
      <c r="B14" s="51"/>
      <c r="C14" s="49"/>
      <c r="D14" s="49"/>
      <c r="E14" s="49" t="s">
        <v>333</v>
      </c>
      <c r="F14" s="49"/>
      <c r="G14" s="49"/>
      <c r="H14" s="49"/>
      <c r="I14" s="49"/>
      <c r="J14" s="49"/>
      <c r="K14" s="48"/>
      <c r="L14" s="48"/>
    </row>
    <row r="15" spans="1:29" ht="19.5">
      <c r="A15" s="52"/>
      <c r="B15" s="51"/>
      <c r="C15" s="51"/>
      <c r="D15" s="51"/>
      <c r="E15" s="413"/>
      <c r="F15" s="51"/>
      <c r="G15" s="51"/>
      <c r="H15" s="51"/>
      <c r="I15" s="414"/>
      <c r="J15" s="51"/>
      <c r="K15" s="48"/>
      <c r="L15" s="48"/>
    </row>
    <row r="16" spans="1:29" ht="19.5">
      <c r="A16" s="52">
        <v>1</v>
      </c>
      <c r="B16" s="51"/>
      <c r="C16" s="53" t="s">
        <v>126</v>
      </c>
      <c r="D16" s="51"/>
      <c r="E16" s="48"/>
      <c r="F16" s="48"/>
      <c r="G16" s="66"/>
      <c r="H16" s="66"/>
      <c r="I16" s="66"/>
      <c r="J16" s="66"/>
      <c r="K16" s="66"/>
      <c r="L16" s="66"/>
      <c r="M16" s="66"/>
    </row>
    <row r="17" spans="1:15" ht="19.5">
      <c r="A17" s="52">
        <f>+A16+1</f>
        <v>2</v>
      </c>
      <c r="B17" s="51"/>
      <c r="C17" s="51" t="s">
        <v>111</v>
      </c>
      <c r="D17" s="51"/>
      <c r="E17" s="66">
        <f>+'WS H-p2 Detail of Tax Amts'!E14</f>
        <v>1</v>
      </c>
      <c r="F17" s="48"/>
      <c r="G17" s="66"/>
      <c r="H17" s="66"/>
      <c r="I17" s="66"/>
      <c r="J17" s="66"/>
      <c r="K17" s="66"/>
      <c r="L17" s="66"/>
      <c r="M17" s="66">
        <f>+E17</f>
        <v>1</v>
      </c>
    </row>
    <row r="18" spans="1:15" ht="19.5">
      <c r="A18" s="52"/>
      <c r="B18" s="51"/>
      <c r="C18" s="54"/>
      <c r="D18" s="51"/>
      <c r="E18" s="48"/>
      <c r="F18" s="48"/>
      <c r="G18" s="66"/>
      <c r="H18" s="66"/>
      <c r="I18" s="66"/>
      <c r="J18" s="66"/>
      <c r="K18" s="66"/>
      <c r="L18" s="66"/>
      <c r="M18" s="66"/>
    </row>
    <row r="19" spans="1:15" ht="19.5">
      <c r="A19" s="52">
        <f>+A17+1</f>
        <v>3</v>
      </c>
      <c r="B19" s="51"/>
      <c r="C19" s="53" t="s">
        <v>127</v>
      </c>
      <c r="D19" s="51"/>
      <c r="E19" s="48"/>
      <c r="F19" s="48"/>
      <c r="G19" s="66"/>
      <c r="H19" s="66"/>
      <c r="I19" s="66"/>
      <c r="J19" s="66"/>
      <c r="K19" s="66"/>
      <c r="L19" s="66"/>
      <c r="M19" s="66"/>
    </row>
    <row r="20" spans="1:15" ht="19.5">
      <c r="A20" s="52">
        <f>+A19+1</f>
        <v>4</v>
      </c>
      <c r="B20" s="51"/>
      <c r="C20" s="51" t="s">
        <v>810</v>
      </c>
      <c r="D20" s="51"/>
      <c r="E20" s="66">
        <f>'WS H-p2 Detail of Tax Amts'!E23</f>
        <v>13528663.960000001</v>
      </c>
      <c r="F20" s="51"/>
      <c r="G20" s="66">
        <f>+E20</f>
        <v>13528663.960000001</v>
      </c>
      <c r="H20" s="66"/>
      <c r="I20" s="66"/>
      <c r="J20" s="66"/>
      <c r="K20" s="66"/>
      <c r="L20" s="66"/>
      <c r="M20" s="66"/>
      <c r="O20"/>
    </row>
    <row r="21" spans="1:15" ht="19.5">
      <c r="A21" s="52">
        <f>+A20+1</f>
        <v>5</v>
      </c>
      <c r="B21" s="51"/>
      <c r="C21" s="51" t="s">
        <v>811</v>
      </c>
      <c r="D21" s="51"/>
      <c r="E21" s="66">
        <f>'WS H-p2 Detail of Tax Amts'!E30</f>
        <v>14885336.26</v>
      </c>
      <c r="F21" s="51"/>
      <c r="G21" s="66">
        <f>+E21</f>
        <v>14885336.26</v>
      </c>
      <c r="H21" s="66"/>
      <c r="I21" s="66"/>
      <c r="J21" s="66"/>
      <c r="K21" s="66"/>
      <c r="L21" s="66"/>
      <c r="M21" s="66"/>
      <c r="O21"/>
    </row>
    <row r="22" spans="1:15" ht="19.5">
      <c r="A22" s="52">
        <f>+A21+1</f>
        <v>6</v>
      </c>
      <c r="B22" s="51"/>
      <c r="C22" s="51" t="s">
        <v>617</v>
      </c>
      <c r="D22" s="51"/>
      <c r="E22" s="66">
        <f>'WS H-p2 Detail of Tax Amts'!E37</f>
        <v>0</v>
      </c>
      <c r="F22" s="51"/>
      <c r="G22" s="66">
        <f>+E22</f>
        <v>0</v>
      </c>
      <c r="H22" s="66"/>
      <c r="I22" s="66"/>
      <c r="J22" s="66"/>
      <c r="K22" s="66"/>
      <c r="L22" s="66"/>
      <c r="M22" s="66"/>
      <c r="O22"/>
    </row>
    <row r="23" spans="1:15" ht="19.5">
      <c r="A23" s="52">
        <f>+A22+1</f>
        <v>7</v>
      </c>
      <c r="B23" s="51"/>
      <c r="C23" s="51" t="s">
        <v>251</v>
      </c>
      <c r="D23" s="89"/>
      <c r="E23" s="66">
        <f>+'WS H-p2 Detail of Tax Amts'!E40</f>
        <v>0</v>
      </c>
      <c r="F23" s="48"/>
      <c r="G23" s="66">
        <f>+E23</f>
        <v>0</v>
      </c>
      <c r="H23" s="66"/>
      <c r="I23" s="66"/>
      <c r="J23" s="66"/>
      <c r="K23" s="66"/>
      <c r="L23" s="66"/>
      <c r="M23" s="66"/>
      <c r="O23"/>
    </row>
    <row r="24" spans="1:15" ht="19.5">
      <c r="A24" s="52"/>
      <c r="B24" s="51"/>
      <c r="C24" s="54"/>
      <c r="D24" s="51"/>
      <c r="E24" s="48"/>
      <c r="F24" s="48"/>
      <c r="G24" s="66"/>
      <c r="H24" s="66"/>
      <c r="I24" s="66"/>
      <c r="J24" s="66"/>
      <c r="K24" s="66"/>
      <c r="L24" s="66"/>
      <c r="M24" s="66"/>
      <c r="O24" s="415"/>
    </row>
    <row r="25" spans="1:15" ht="19.5">
      <c r="A25" s="52">
        <f>+A23+1</f>
        <v>8</v>
      </c>
      <c r="B25" s="51"/>
      <c r="C25" s="53" t="s">
        <v>128</v>
      </c>
      <c r="D25" s="51"/>
      <c r="E25" s="48"/>
      <c r="F25" s="48"/>
      <c r="G25" s="66"/>
      <c r="H25" s="66"/>
      <c r="I25" s="66"/>
      <c r="J25" s="66"/>
      <c r="K25" s="66"/>
      <c r="L25" s="66"/>
      <c r="M25" s="66"/>
      <c r="O25" s="415"/>
    </row>
    <row r="26" spans="1:15" ht="19.5">
      <c r="A26" s="52">
        <f>+A25+1</f>
        <v>9</v>
      </c>
      <c r="B26" s="51"/>
      <c r="C26" s="51" t="s">
        <v>124</v>
      </c>
      <c r="D26" s="51"/>
      <c r="E26" s="66">
        <f>+'WS H-p2 Detail of Tax Amts'!E50</f>
        <v>0</v>
      </c>
      <c r="F26" s="48"/>
      <c r="G26" s="66"/>
      <c r="H26" s="66"/>
      <c r="I26" s="66">
        <f>+E26</f>
        <v>0</v>
      </c>
      <c r="J26" s="66"/>
      <c r="K26" s="66"/>
      <c r="L26" s="66"/>
      <c r="M26" s="66"/>
      <c r="O26" s="415"/>
    </row>
    <row r="27" spans="1:15" ht="19.5">
      <c r="A27" s="52">
        <f>+A26+1</f>
        <v>10</v>
      </c>
      <c r="B27" s="51"/>
      <c r="C27" s="51" t="s">
        <v>117</v>
      </c>
      <c r="D27" s="51"/>
      <c r="E27" s="66">
        <f>+'WS H-p2 Detail of Tax Amts'!E52</f>
        <v>0</v>
      </c>
      <c r="F27" s="48"/>
      <c r="G27" s="48"/>
      <c r="H27" s="48"/>
      <c r="I27" s="66">
        <f>+E27</f>
        <v>0</v>
      </c>
      <c r="J27" s="51"/>
      <c r="K27" s="48"/>
      <c r="L27" s="48"/>
      <c r="M27" s="66"/>
    </row>
    <row r="28" spans="1:15" ht="19.5">
      <c r="A28" s="52">
        <f>+A27+1</f>
        <v>11</v>
      </c>
      <c r="B28" s="51"/>
      <c r="C28" s="51" t="s">
        <v>118</v>
      </c>
      <c r="D28" s="51"/>
      <c r="E28" s="66">
        <f>+'WS H-p2 Detail of Tax Amts'!E54</f>
        <v>0</v>
      </c>
      <c r="F28" s="48"/>
      <c r="G28" s="48"/>
      <c r="H28" s="48"/>
      <c r="I28" s="66">
        <f>+E28</f>
        <v>0</v>
      </c>
      <c r="J28" s="413"/>
      <c r="K28" s="48"/>
      <c r="L28" s="48"/>
      <c r="M28" s="66"/>
    </row>
    <row r="29" spans="1:15" ht="19.5">
      <c r="A29" s="52" t="s">
        <v>414</v>
      </c>
      <c r="B29" s="51"/>
      <c r="C29" s="48"/>
      <c r="D29" s="51"/>
      <c r="E29" s="48"/>
      <c r="F29" s="48"/>
      <c r="G29" s="48"/>
      <c r="H29" s="48"/>
      <c r="I29" s="416"/>
      <c r="J29" s="417"/>
      <c r="K29" s="418"/>
      <c r="L29" s="418"/>
      <c r="M29" s="66"/>
    </row>
    <row r="30" spans="1:15" ht="19.5">
      <c r="A30" s="52">
        <f>A28+1</f>
        <v>12</v>
      </c>
      <c r="B30" s="51"/>
      <c r="C30" s="419" t="s">
        <v>320</v>
      </c>
      <c r="D30" s="51"/>
      <c r="E30" s="107"/>
      <c r="F30" s="107"/>
      <c r="G30" s="107"/>
      <c r="H30" s="107"/>
      <c r="I30" s="420"/>
      <c r="J30" s="421"/>
      <c r="K30" s="422"/>
      <c r="L30" s="422"/>
      <c r="M30" s="423"/>
    </row>
    <row r="31" spans="1:15" ht="19.5">
      <c r="A31" s="52">
        <f>A30+1</f>
        <v>13</v>
      </c>
      <c r="B31" s="51"/>
      <c r="C31" s="51" t="s">
        <v>222</v>
      </c>
      <c r="D31" s="89"/>
      <c r="E31" s="66">
        <f>+'WS H-p2 Detail of Tax Amts'!E59</f>
        <v>0</v>
      </c>
      <c r="F31" s="48"/>
      <c r="G31" s="48"/>
      <c r="H31" s="48"/>
      <c r="I31" s="416"/>
      <c r="J31" s="417"/>
      <c r="K31" s="418"/>
      <c r="L31" s="418"/>
      <c r="M31" s="66">
        <f>E31</f>
        <v>0</v>
      </c>
    </row>
    <row r="32" spans="1:15" ht="19.5">
      <c r="A32" s="52"/>
      <c r="B32" s="51"/>
      <c r="C32" s="48"/>
      <c r="D32" s="51"/>
      <c r="E32" s="48"/>
      <c r="F32" s="48"/>
      <c r="G32" s="48"/>
      <c r="H32" s="48"/>
      <c r="I32" s="416"/>
      <c r="J32" s="417"/>
      <c r="K32" s="418"/>
      <c r="L32" s="418"/>
      <c r="M32" s="66"/>
    </row>
    <row r="33" spans="1:13" ht="19.5">
      <c r="A33" s="56">
        <f>A31+1</f>
        <v>14</v>
      </c>
      <c r="B33" s="57"/>
      <c r="C33" s="53" t="s">
        <v>125</v>
      </c>
      <c r="D33" s="58"/>
      <c r="E33" s="48"/>
      <c r="F33" s="48"/>
      <c r="G33" s="66"/>
      <c r="H33" s="66"/>
      <c r="I33" s="66"/>
      <c r="J33" s="66"/>
      <c r="K33" s="66"/>
      <c r="L33" s="66"/>
      <c r="M33" s="66"/>
    </row>
    <row r="34" spans="1:13" ht="19.5">
      <c r="A34" s="56">
        <f>A33+1</f>
        <v>15</v>
      </c>
      <c r="B34" s="57"/>
      <c r="C34" s="51" t="s">
        <v>221</v>
      </c>
      <c r="D34" s="58"/>
      <c r="E34" s="66">
        <f>+'WS H-p2 Detail of Tax Amts'!E62</f>
        <v>0</v>
      </c>
      <c r="F34" s="48"/>
      <c r="G34" s="66"/>
      <c r="H34" s="66"/>
      <c r="I34" s="66"/>
      <c r="J34" s="66"/>
      <c r="K34" s="66"/>
      <c r="L34" s="66"/>
      <c r="M34" s="66">
        <f>E34</f>
        <v>0</v>
      </c>
    </row>
    <row r="35" spans="1:13" ht="19.5">
      <c r="A35" s="52">
        <f>A34+1</f>
        <v>16</v>
      </c>
      <c r="B35" s="51"/>
      <c r="C35" s="51" t="s">
        <v>119</v>
      </c>
      <c r="D35" s="51"/>
      <c r="E35" s="66">
        <f>+'WS H-p2 Detail of Tax Amts'!E65</f>
        <v>0</v>
      </c>
      <c r="F35" s="48"/>
      <c r="G35" s="66"/>
      <c r="H35" s="66"/>
      <c r="I35" s="66"/>
      <c r="J35" s="66"/>
      <c r="K35" s="66">
        <f>+E35</f>
        <v>0</v>
      </c>
      <c r="L35" s="66"/>
      <c r="M35" s="66"/>
    </row>
    <row r="36" spans="1:13" ht="19.5">
      <c r="A36" s="52">
        <f t="shared" ref="A36:A41" si="0">+A35+1</f>
        <v>17</v>
      </c>
      <c r="B36" s="51"/>
      <c r="C36" s="51" t="s">
        <v>120</v>
      </c>
      <c r="D36"/>
      <c r="E36" s="66">
        <f>+'WS H-p2 Detail of Tax Amts'!E69</f>
        <v>0</v>
      </c>
      <c r="F36" s="48"/>
      <c r="G36" s="66"/>
      <c r="H36" s="66"/>
      <c r="I36" s="66"/>
      <c r="J36" s="66"/>
      <c r="K36" s="66">
        <f>+E36</f>
        <v>0</v>
      </c>
      <c r="L36" s="66"/>
      <c r="M36" s="66"/>
    </row>
    <row r="37" spans="1:13" ht="19.5">
      <c r="A37" s="52">
        <f>+A36+1</f>
        <v>18</v>
      </c>
      <c r="B37" s="51"/>
      <c r="C37" s="51" t="s">
        <v>121</v>
      </c>
      <c r="D37"/>
      <c r="E37" s="66">
        <f>'WS H-p2 Detail of Tax Amts'!E81</f>
        <v>0</v>
      </c>
      <c r="F37" s="48"/>
      <c r="G37" s="66"/>
      <c r="H37" s="66"/>
      <c r="I37" s="66"/>
      <c r="J37" s="66"/>
      <c r="K37" s="66">
        <f>+E37</f>
        <v>0</v>
      </c>
      <c r="L37" s="66"/>
      <c r="M37" s="66"/>
    </row>
    <row r="38" spans="1:13" ht="19.5">
      <c r="A38" s="52">
        <f t="shared" si="0"/>
        <v>19</v>
      </c>
      <c r="B38" s="51"/>
      <c r="C38" s="51" t="s">
        <v>122</v>
      </c>
      <c r="D38" s="51"/>
      <c r="E38" s="66">
        <f>+'WS H-p2 Detail of Tax Amts'!E86</f>
        <v>0</v>
      </c>
      <c r="F38" s="48"/>
      <c r="G38" s="66"/>
      <c r="H38" s="66"/>
      <c r="I38" s="66"/>
      <c r="J38" s="66"/>
      <c r="K38" s="66">
        <f>+E38</f>
        <v>0</v>
      </c>
      <c r="L38" s="66"/>
      <c r="M38" s="66"/>
    </row>
    <row r="39" spans="1:13" ht="19.5">
      <c r="A39" s="52">
        <f t="shared" si="0"/>
        <v>20</v>
      </c>
      <c r="B39" s="51"/>
      <c r="C39" s="51" t="s">
        <v>123</v>
      </c>
      <c r="D39" s="51"/>
      <c r="E39" s="66">
        <f>+'WS H-p2 Detail of Tax Amts'!E90</f>
        <v>0</v>
      </c>
      <c r="F39" s="48"/>
      <c r="G39" s="66"/>
      <c r="H39" s="66"/>
      <c r="I39" s="66"/>
      <c r="J39" s="66"/>
      <c r="K39" s="66"/>
      <c r="L39" s="66"/>
      <c r="M39" s="66">
        <f>+E39</f>
        <v>0</v>
      </c>
    </row>
    <row r="40" spans="1:13" ht="19.5">
      <c r="A40" s="52">
        <f t="shared" si="0"/>
        <v>21</v>
      </c>
      <c r="B40" s="48"/>
      <c r="C40" s="51" t="s">
        <v>112</v>
      </c>
      <c r="D40" s="48"/>
      <c r="E40" s="66">
        <f>+'WS H-p2 Detail of Tax Amts'!E96</f>
        <v>0</v>
      </c>
      <c r="F40" s="48"/>
      <c r="G40" s="66"/>
      <c r="H40" s="66"/>
      <c r="I40" s="66"/>
      <c r="J40" s="66"/>
      <c r="K40" s="66"/>
      <c r="L40" s="66"/>
      <c r="M40" s="66">
        <f>+E40</f>
        <v>0</v>
      </c>
    </row>
    <row r="41" spans="1:13" ht="19.5">
      <c r="A41" s="52">
        <f t="shared" si="0"/>
        <v>22</v>
      </c>
      <c r="B41" s="48"/>
      <c r="C41" s="51" t="s">
        <v>406</v>
      </c>
      <c r="D41" s="48"/>
      <c r="E41" s="66">
        <v>0</v>
      </c>
      <c r="F41" s="48"/>
      <c r="G41" s="66"/>
      <c r="H41" s="66"/>
      <c r="I41" s="66"/>
      <c r="J41" s="66"/>
      <c r="K41" s="66"/>
      <c r="L41" s="66"/>
      <c r="M41" s="66">
        <f>+E41</f>
        <v>0</v>
      </c>
    </row>
    <row r="42" spans="1:13" ht="19.5">
      <c r="A42" s="3"/>
      <c r="B42" s="41"/>
      <c r="C42" s="51"/>
      <c r="D42"/>
      <c r="E42"/>
      <c r="F42" s="48"/>
      <c r="H42" s="424"/>
      <c r="I42" s="425"/>
      <c r="J42" s="425"/>
      <c r="K42" s="418"/>
      <c r="L42" s="426"/>
      <c r="M42" s="426"/>
    </row>
    <row r="43" spans="1:13" ht="20.25" thickBot="1">
      <c r="A43" s="95">
        <f>+A41+1</f>
        <v>23</v>
      </c>
      <c r="B43" s="41"/>
      <c r="C43" s="51" t="s">
        <v>116</v>
      </c>
      <c r="D43"/>
      <c r="E43" s="427">
        <f>SUM(E17:E41)</f>
        <v>28414001.219999999</v>
      </c>
      <c r="F43" s="48"/>
      <c r="G43" s="427">
        <f>SUM(G17:G41)</f>
        <v>28414000.219999999</v>
      </c>
      <c r="H43" s="424"/>
      <c r="I43" s="427">
        <f>SUM(I17:I41)</f>
        <v>0</v>
      </c>
      <c r="J43" s="425"/>
      <c r="K43" s="427">
        <f>SUM(K17:K41)</f>
        <v>0</v>
      </c>
      <c r="L43" s="426"/>
      <c r="M43" s="427">
        <f>SUM(M17:M41)</f>
        <v>1</v>
      </c>
    </row>
    <row r="44" spans="1:13" ht="20.25" thickTop="1">
      <c r="A44" s="3"/>
      <c r="B44" s="41"/>
      <c r="C44" s="51" t="s">
        <v>181</v>
      </c>
      <c r="D44"/>
      <c r="E44"/>
      <c r="F44" s="48"/>
      <c r="G44" s="424"/>
      <c r="H44" s="424"/>
      <c r="I44" s="425"/>
      <c r="J44" s="155"/>
      <c r="K44" s="426"/>
      <c r="L44" s="426"/>
      <c r="M44" s="426"/>
    </row>
    <row r="45" spans="1:13" ht="19.5">
      <c r="A45" s="3"/>
      <c r="B45" s="41"/>
      <c r="C45" s="51" t="s">
        <v>5</v>
      </c>
      <c r="D45"/>
      <c r="E45"/>
      <c r="F45" s="48"/>
      <c r="G45" s="424"/>
      <c r="H45" s="424"/>
      <c r="I45" s="425"/>
      <c r="J45" s="155"/>
      <c r="K45" s="426"/>
      <c r="L45" s="426"/>
      <c r="M45" s="426"/>
    </row>
    <row r="46" spans="1:13" ht="19.5">
      <c r="A46" s="3"/>
      <c r="B46" s="41"/>
      <c r="C46" s="1202" t="s">
        <v>250</v>
      </c>
      <c r="D46" s="1202"/>
      <c r="E46" s="1202"/>
      <c r="F46" s="1202"/>
      <c r="G46" s="1202"/>
      <c r="H46" s="1202"/>
      <c r="I46" s="1202"/>
      <c r="J46" s="1202"/>
      <c r="K46" s="1202"/>
      <c r="L46" s="1202"/>
      <c r="M46" s="1202"/>
    </row>
    <row r="47" spans="1:13" ht="78">
      <c r="A47" s="52"/>
      <c r="C47" s="48"/>
      <c r="D47" s="48"/>
      <c r="E47" s="428" t="s">
        <v>321</v>
      </c>
      <c r="G47" s="429" t="s">
        <v>415</v>
      </c>
      <c r="H47" s="429"/>
      <c r="I47" s="428" t="s">
        <v>322</v>
      </c>
      <c r="J47" s="429"/>
      <c r="K47" s="429" t="s">
        <v>136</v>
      </c>
      <c r="L47" s="429"/>
      <c r="M47" s="429" t="s">
        <v>418</v>
      </c>
    </row>
    <row r="48" spans="1:13" ht="19.5">
      <c r="A48" s="52">
        <f>+A43+1</f>
        <v>24</v>
      </c>
      <c r="C48" s="107" t="str">
        <f>"Functionalized Net Plant (TCOS, Lns "&amp;TCOS!B83&amp;" thru "&amp;TCOS!B87&amp;")"</f>
        <v>Functionalized Net Plant (TCOS, Lns 33 thru 36)</v>
      </c>
      <c r="D48" s="48"/>
      <c r="E48" s="430">
        <v>0</v>
      </c>
      <c r="F48" s="107"/>
      <c r="G48" s="430">
        <f>+TCOS!G83</f>
        <v>3677911683.3484621</v>
      </c>
      <c r="H48" s="107"/>
      <c r="I48" s="430">
        <v>0</v>
      </c>
      <c r="J48" s="107"/>
      <c r="K48" s="430">
        <f>+TCOS!G84</f>
        <v>72238700.606923074</v>
      </c>
      <c r="L48" s="48"/>
      <c r="M48" s="431">
        <f>SUM(E48:K48)</f>
        <v>3750150383.9553852</v>
      </c>
    </row>
    <row r="49" spans="1:21" ht="19.5">
      <c r="A49" s="52"/>
      <c r="C49" s="54" t="s">
        <v>808</v>
      </c>
      <c r="D49" s="48"/>
      <c r="E49" s="431"/>
      <c r="F49" s="48"/>
      <c r="G49" s="432"/>
      <c r="H49" s="48"/>
      <c r="I49" s="431"/>
      <c r="J49" s="48"/>
      <c r="K49" s="431"/>
      <c r="L49" s="48"/>
      <c r="M49" s="433"/>
    </row>
    <row r="50" spans="1:21" ht="19.5">
      <c r="A50" s="52">
        <f>+A48+1</f>
        <v>25</v>
      </c>
      <c r="C50" s="48" t="str">
        <f>"Percentage of Plant in "&amp;C49&amp;""</f>
        <v>Percentage of Plant in MICHIGAN JURISDICTION</v>
      </c>
      <c r="D50" s="48"/>
      <c r="E50" s="445"/>
      <c r="F50" s="434"/>
      <c r="G50" s="445"/>
      <c r="H50" s="434"/>
      <c r="I50" s="445"/>
      <c r="J50" s="434"/>
      <c r="K50" s="445"/>
      <c r="L50" s="48"/>
      <c r="M50" s="433"/>
    </row>
    <row r="51" spans="1:21" ht="19.5">
      <c r="A51" s="52">
        <f t="shared" ref="A51:A58" si="1">+A50+1</f>
        <v>26</v>
      </c>
      <c r="C51" s="107" t="str">
        <f>"Net Plant in "&amp;C49&amp;" (Ln "&amp;A48&amp;" * Ln "&amp;A50&amp;")"</f>
        <v>Net Plant in MICHIGAN JURISDICTION (Ln 24 * Ln 25)</v>
      </c>
      <c r="D51" s="48"/>
      <c r="E51" s="431">
        <f>+E48*E50</f>
        <v>0</v>
      </c>
      <c r="F51" s="48"/>
      <c r="G51" s="431">
        <f>+G48*G50</f>
        <v>0</v>
      </c>
      <c r="H51" s="48"/>
      <c r="I51" s="431">
        <f>+I48*I50</f>
        <v>0</v>
      </c>
      <c r="J51" s="48"/>
      <c r="K51" s="431">
        <f>+K48*K50</f>
        <v>0</v>
      </c>
      <c r="L51" s="48"/>
      <c r="M51" s="431">
        <f>SUM(E51:K51)</f>
        <v>0</v>
      </c>
      <c r="O51"/>
    </row>
    <row r="52" spans="1:21" ht="19.5">
      <c r="A52" s="52">
        <f t="shared" si="1"/>
        <v>27</v>
      </c>
      <c r="C52" s="107" t="s">
        <v>549</v>
      </c>
      <c r="D52" s="48"/>
      <c r="E52" s="445"/>
      <c r="F52" s="48"/>
      <c r="G52" s="435"/>
      <c r="H52" s="48"/>
      <c r="I52" s="435"/>
      <c r="J52" s="48"/>
      <c r="K52" s="435"/>
      <c r="L52" s="48"/>
      <c r="M52" s="431"/>
      <c r="O52"/>
    </row>
    <row r="53" spans="1:21" ht="19.5">
      <c r="A53" s="52">
        <f t="shared" si="1"/>
        <v>28</v>
      </c>
      <c r="C53" s="48" t="str">
        <f>"Taxable Property Basis (Ln "&amp;A51&amp;" - Ln "&amp;A52&amp;")"</f>
        <v>Taxable Property Basis (Ln 26 - Ln 27)</v>
      </c>
      <c r="D53" s="48"/>
      <c r="E53" s="431">
        <f>+E51-E52</f>
        <v>0</v>
      </c>
      <c r="F53" s="48"/>
      <c r="G53" s="431">
        <f>+G51-G52</f>
        <v>0</v>
      </c>
      <c r="H53" s="48"/>
      <c r="I53" s="431">
        <f>+I51-I52</f>
        <v>0</v>
      </c>
      <c r="J53" s="48"/>
      <c r="K53" s="431">
        <f>+K51-K52</f>
        <v>0</v>
      </c>
      <c r="L53" s="48"/>
      <c r="M53" s="431">
        <f>SUM(E53:K53)</f>
        <v>0</v>
      </c>
      <c r="O53"/>
    </row>
    <row r="54" spans="1:21" ht="19.5">
      <c r="A54" s="52">
        <f t="shared" si="1"/>
        <v>29</v>
      </c>
      <c r="C54" s="66" t="s">
        <v>248</v>
      </c>
      <c r="D54" s="48"/>
      <c r="E54" s="445"/>
      <c r="F54" s="434"/>
      <c r="G54" s="445"/>
      <c r="H54" s="434"/>
      <c r="I54" s="445"/>
      <c r="J54" s="434"/>
      <c r="K54" s="445"/>
      <c r="L54" s="48"/>
      <c r="M54" s="431">
        <f>SUM(E54:K54)</f>
        <v>0</v>
      </c>
      <c r="O54"/>
    </row>
    <row r="55" spans="1:21" ht="19.5">
      <c r="A55" s="52">
        <f t="shared" si="1"/>
        <v>30</v>
      </c>
      <c r="C55" s="107" t="str">
        <f>"Weighted Net Plant (Ln "&amp;A53&amp;" * Ln "&amp;A54&amp;")"</f>
        <v>Weighted Net Plant (Ln 28 * Ln 29)</v>
      </c>
      <c r="D55" s="48"/>
      <c r="E55" s="431">
        <f>+E53*E54</f>
        <v>0</v>
      </c>
      <c r="F55" s="48"/>
      <c r="G55" s="431">
        <f>+G53*G54</f>
        <v>0</v>
      </c>
      <c r="H55" s="48"/>
      <c r="I55" s="431">
        <f>+I53*I54</f>
        <v>0</v>
      </c>
      <c r="J55" s="48"/>
      <c r="K55" s="431">
        <f>+K53*K54</f>
        <v>0</v>
      </c>
      <c r="L55" s="48"/>
      <c r="M55" s="431"/>
      <c r="O55"/>
      <c r="P55"/>
      <c r="Q55"/>
      <c r="R55"/>
      <c r="S55"/>
      <c r="T55"/>
      <c r="U55"/>
    </row>
    <row r="56" spans="1:21" ht="19.5">
      <c r="A56" s="52">
        <f t="shared" si="1"/>
        <v>31</v>
      </c>
      <c r="C56" s="48" t="str">
        <f>+"General Plant Allocator (Ln "&amp;A55&amp;" / (Total - General Plant))"</f>
        <v>General Plant Allocator (Ln 30 / (Total - General Plant))</v>
      </c>
      <c r="D56" s="48"/>
      <c r="E56" s="436">
        <f>IF(E54=0,0,+E55/($E55+$G55+$I55))</f>
        <v>0</v>
      </c>
      <c r="F56" s="48"/>
      <c r="G56" s="436">
        <v>1</v>
      </c>
      <c r="H56" s="48"/>
      <c r="I56" s="436">
        <f>IF(I54=0,0,+I55/($E55+$G55+$I55))</f>
        <v>0</v>
      </c>
      <c r="J56" s="48"/>
      <c r="K56" s="436">
        <v>-1</v>
      </c>
      <c r="L56" s="48"/>
      <c r="M56" s="48"/>
      <c r="O56"/>
      <c r="P56"/>
      <c r="Q56"/>
      <c r="R56"/>
      <c r="S56"/>
      <c r="T56"/>
      <c r="U56"/>
    </row>
    <row r="57" spans="1:21" ht="19.5">
      <c r="A57" s="52">
        <f t="shared" si="1"/>
        <v>32</v>
      </c>
      <c r="C57" s="48" t="str">
        <f>"Functionalized General Plant (Ln "&amp;A56&amp;" * General Plant)"</f>
        <v>Functionalized General Plant (Ln 31 * General Plant)</v>
      </c>
      <c r="D57" s="48"/>
      <c r="E57" s="437">
        <f>ROUND($K55*E56,0)</f>
        <v>0</v>
      </c>
      <c r="F57" s="48"/>
      <c r="G57" s="437">
        <f>+G56*K55</f>
        <v>0</v>
      </c>
      <c r="H57" s="48"/>
      <c r="I57" s="437">
        <f>ROUND($K55*I56,0)</f>
        <v>0</v>
      </c>
      <c r="J57" s="48"/>
      <c r="K57" s="437">
        <f>ROUND($K55*K56,0)</f>
        <v>0</v>
      </c>
      <c r="L57" s="48"/>
      <c r="M57" s="431">
        <f>IF(SUM(E57:K57)&lt;&gt;0,0,0)</f>
        <v>0</v>
      </c>
      <c r="O57"/>
      <c r="P57"/>
      <c r="Q57"/>
      <c r="R57"/>
      <c r="S57"/>
      <c r="T57"/>
      <c r="U57"/>
    </row>
    <row r="58" spans="1:21" ht="19.5">
      <c r="A58" s="52">
        <f t="shared" si="1"/>
        <v>33</v>
      </c>
      <c r="C58" s="48" t="str">
        <f>"Weighted "&amp;C49&amp;" Plant (Ln "&amp;A55&amp;" + "&amp;A57&amp;")"</f>
        <v>Weighted MICHIGAN JURISDICTION Plant (Ln 30 + 32)</v>
      </c>
      <c r="D58" s="48"/>
      <c r="E58" s="431">
        <f>+E55+E57</f>
        <v>0</v>
      </c>
      <c r="F58" s="48"/>
      <c r="G58" s="431">
        <f>+G55+G57</f>
        <v>0</v>
      </c>
      <c r="H58" s="48"/>
      <c r="I58" s="431">
        <f>+I55+I57</f>
        <v>0</v>
      </c>
      <c r="J58" s="48"/>
      <c r="K58" s="431">
        <f>+K55+K57</f>
        <v>0</v>
      </c>
      <c r="L58" s="48"/>
      <c r="M58" s="431">
        <f>SUM(E58:K58)-SUM(E57:K57)</f>
        <v>0</v>
      </c>
      <c r="O58"/>
    </row>
    <row r="59" spans="1:21" ht="19.5">
      <c r="A59" s="52">
        <f>+A58+1</f>
        <v>34</v>
      </c>
      <c r="C59" s="48" t="str">
        <f>"Functional Percentage (Ln "&amp;A58&amp;"/Total Ln "&amp;A58&amp;")"</f>
        <v>Functional Percentage (Ln 33/Total Ln 33)</v>
      </c>
      <c r="D59" s="48"/>
      <c r="E59" s="432">
        <f>IF(E58=0,0,+E58/$M$58)</f>
        <v>0</v>
      </c>
      <c r="F59" s="48"/>
      <c r="G59" s="432">
        <v>1</v>
      </c>
      <c r="H59" s="48"/>
      <c r="I59" s="432">
        <f>IF(I58=0,0,+I58/$M$58)</f>
        <v>0</v>
      </c>
      <c r="J59" s="48"/>
      <c r="K59"/>
      <c r="L59" s="48"/>
      <c r="M59" s="431"/>
      <c r="O59"/>
    </row>
    <row r="60" spans="1:21" ht="19.5">
      <c r="A60" s="52"/>
      <c r="C60" s="442" t="s">
        <v>809</v>
      </c>
      <c r="D60" s="48"/>
      <c r="E60" s="431"/>
      <c r="F60" s="48"/>
      <c r="G60" s="438"/>
      <c r="H60" s="48"/>
      <c r="I60" s="431"/>
      <c r="J60" s="48"/>
      <c r="K60" s="432"/>
      <c r="L60" s="48"/>
      <c r="M60" s="431"/>
      <c r="O60"/>
    </row>
    <row r="61" spans="1:21" ht="19.5">
      <c r="A61" s="52">
        <f>A59+1</f>
        <v>35</v>
      </c>
      <c r="C61" s="443" t="str">
        <f>"Net Plant in "&amp;C60&amp;" (Ln "&amp;A48&amp;" - Ln "&amp;A51&amp;")"</f>
        <v>Net Plant in INDIANA JURISDICTION (Ln 24 - Ln 26)</v>
      </c>
      <c r="D61" s="48"/>
      <c r="E61" s="431">
        <f>+E48-E51</f>
        <v>0</v>
      </c>
      <c r="F61" s="48"/>
      <c r="G61" s="431">
        <f>+G48-G51</f>
        <v>3677911683.3484621</v>
      </c>
      <c r="H61" s="48"/>
      <c r="I61" s="431">
        <f>+I48-I51</f>
        <v>0</v>
      </c>
      <c r="J61" s="48"/>
      <c r="K61" s="431">
        <f>+K48-K51</f>
        <v>72238700.606923074</v>
      </c>
      <c r="L61" s="48"/>
      <c r="M61" s="431">
        <f>SUM(E61:K61)</f>
        <v>3750150383.9553852</v>
      </c>
      <c r="O61"/>
    </row>
    <row r="62" spans="1:21" ht="19.5">
      <c r="A62" s="52">
        <f t="shared" ref="A62:A68" si="2">+A61+1</f>
        <v>36</v>
      </c>
      <c r="C62" s="107" t="s">
        <v>548</v>
      </c>
      <c r="D62" s="48"/>
      <c r="E62" s="445"/>
      <c r="F62" s="48"/>
      <c r="G62" s="435"/>
      <c r="H62" s="48"/>
      <c r="I62" s="435"/>
      <c r="J62" s="48"/>
      <c r="K62" s="435"/>
      <c r="L62" s="48"/>
      <c r="M62" s="431"/>
      <c r="O62"/>
    </row>
    <row r="63" spans="1:21" ht="19.5">
      <c r="A63" s="52">
        <f t="shared" si="2"/>
        <v>37</v>
      </c>
      <c r="C63" s="48" t="s">
        <v>249</v>
      </c>
      <c r="D63" s="48"/>
      <c r="E63" s="431">
        <f>+E61-E62</f>
        <v>0</v>
      </c>
      <c r="F63" s="48"/>
      <c r="G63" s="431">
        <f>+G61-G62</f>
        <v>3677911683.3484621</v>
      </c>
      <c r="H63" s="48"/>
      <c r="I63" s="431">
        <f>+I61-I62</f>
        <v>0</v>
      </c>
      <c r="J63" s="48"/>
      <c r="K63" s="431">
        <f>+K61-K62</f>
        <v>72238700.606923074</v>
      </c>
      <c r="L63" s="48"/>
      <c r="M63" s="431">
        <f>SUM(E63:K63)</f>
        <v>3750150383.9553852</v>
      </c>
      <c r="O63"/>
    </row>
    <row r="64" spans="1:21" ht="19.5">
      <c r="A64" s="52">
        <f t="shared" si="2"/>
        <v>38</v>
      </c>
      <c r="C64" s="66" t="s">
        <v>248</v>
      </c>
      <c r="D64" s="48"/>
      <c r="E64" s="445"/>
      <c r="F64" s="434"/>
      <c r="G64" s="445"/>
      <c r="H64" s="434"/>
      <c r="I64" s="445"/>
      <c r="J64" s="434"/>
      <c r="K64" s="445"/>
      <c r="L64" s="48"/>
      <c r="M64" s="431"/>
      <c r="O64"/>
    </row>
    <row r="65" spans="1:15" ht="19.5">
      <c r="A65" s="52">
        <f t="shared" si="2"/>
        <v>39</v>
      </c>
      <c r="C65" s="48" t="str">
        <f>"Weighted Net Plant (Ln "&amp;A63&amp;" * Ln "&amp;A64&amp;")"</f>
        <v>Weighted Net Plant (Ln 37 * Ln 38)</v>
      </c>
      <c r="D65" s="48"/>
      <c r="E65" s="431">
        <f>+E63*E64</f>
        <v>0</v>
      </c>
      <c r="F65" s="48"/>
      <c r="G65" s="431">
        <f>+G63*G64</f>
        <v>0</v>
      </c>
      <c r="H65" s="48"/>
      <c r="I65" s="431">
        <f>+I63*I64</f>
        <v>0</v>
      </c>
      <c r="J65" s="48"/>
      <c r="K65" s="431">
        <f>+K63*K64</f>
        <v>0</v>
      </c>
      <c r="L65" s="48"/>
      <c r="M65" s="431"/>
      <c r="O65"/>
    </row>
    <row r="66" spans="1:15" ht="19.5">
      <c r="A66" s="52">
        <f t="shared" si="2"/>
        <v>40</v>
      </c>
      <c r="C66" s="48" t="str">
        <f>+"General Plant Allocator (Ln "&amp;A65&amp;" / (Total - General Plant)"</f>
        <v>General Plant Allocator (Ln 39 / (Total - General Plant)</v>
      </c>
      <c r="D66" s="48"/>
      <c r="E66" s="436">
        <f>IF(E64=0,0,+E65/($E65+$G65+$I65))</f>
        <v>0</v>
      </c>
      <c r="F66" s="48"/>
      <c r="G66" s="436">
        <v>1</v>
      </c>
      <c r="H66" s="48"/>
      <c r="I66" s="436">
        <f>IF(I64=0,0,+I65/($E65+$G65+$I65))</f>
        <v>0</v>
      </c>
      <c r="J66" s="48"/>
      <c r="K66" s="436">
        <v>-1</v>
      </c>
      <c r="L66" s="48"/>
      <c r="M66" s="431"/>
      <c r="O66"/>
    </row>
    <row r="67" spans="1:15" ht="19.5">
      <c r="A67" s="52">
        <f t="shared" si="2"/>
        <v>41</v>
      </c>
      <c r="C67" s="48" t="str">
        <f>"Functionalized General Plant (Ln "&amp;A67&amp;" * General Plant)"</f>
        <v>Functionalized General Plant (Ln 41 * General Plant)</v>
      </c>
      <c r="D67" s="48"/>
      <c r="E67" s="437">
        <f>ROUND($K65*E66,0)</f>
        <v>0</v>
      </c>
      <c r="F67" s="48"/>
      <c r="G67" s="437">
        <f>ROUND($K65*G66,0)</f>
        <v>0</v>
      </c>
      <c r="H67" s="48"/>
      <c r="I67" s="437">
        <f>ROUND($K65*I66,0)</f>
        <v>0</v>
      </c>
      <c r="J67" s="48"/>
      <c r="K67" s="437">
        <f>ROUND($K65*K66,0)</f>
        <v>0</v>
      </c>
      <c r="L67" s="48"/>
      <c r="M67" s="431"/>
      <c r="O67"/>
    </row>
    <row r="68" spans="1:15" ht="19.5">
      <c r="A68" s="52">
        <f t="shared" si="2"/>
        <v>42</v>
      </c>
      <c r="C68" s="444" t="str">
        <f>"Weighted "&amp;C60&amp;" Plant (Ln "&amp;A65&amp;" + "&amp;A67&amp;")"</f>
        <v>Weighted INDIANA JURISDICTION Plant (Ln 39 + 41)</v>
      </c>
      <c r="D68" s="48"/>
      <c r="E68" s="431">
        <f>+E65+E67</f>
        <v>0</v>
      </c>
      <c r="F68" s="48"/>
      <c r="G68" s="431">
        <f>+G65+G67</f>
        <v>0</v>
      </c>
      <c r="H68" s="48"/>
      <c r="I68" s="431">
        <f>+I65+I67</f>
        <v>0</v>
      </c>
      <c r="J68" s="48"/>
      <c r="K68" s="431">
        <f>+K65+K67</f>
        <v>0</v>
      </c>
      <c r="L68" s="48"/>
      <c r="M68" s="431">
        <f>SUM(E68:K68)-SUM(E67:K67)</f>
        <v>0</v>
      </c>
      <c r="O68"/>
    </row>
    <row r="69" spans="1:15" ht="19.5">
      <c r="A69" s="52">
        <f>+A68+1</f>
        <v>43</v>
      </c>
      <c r="C69" s="48" t="str">
        <f>"Functional Percentage (Ln "&amp;A68&amp;"/Total Ln "&amp;A68&amp;")"</f>
        <v>Functional Percentage (Ln 42/Total Ln 42)</v>
      </c>
      <c r="D69" s="48"/>
      <c r="E69" s="432">
        <f>IF(E68=0,0,+E68/$M$68)</f>
        <v>0</v>
      </c>
      <c r="F69" s="48"/>
      <c r="G69" s="432">
        <v>1</v>
      </c>
      <c r="H69" s="48"/>
      <c r="I69" s="432">
        <f>IF(I68=0,0,+I68/$M$68)</f>
        <v>0</v>
      </c>
      <c r="J69"/>
      <c r="K69"/>
      <c r="L69" s="48"/>
      <c r="M69" s="431"/>
      <c r="O69"/>
    </row>
    <row r="70" spans="1:15" ht="19.5">
      <c r="A70" s="52"/>
      <c r="C70" s="48"/>
      <c r="D70" s="48"/>
      <c r="E70" s="66"/>
      <c r="F70" s="66"/>
      <c r="G70" s="66"/>
      <c r="H70" s="66"/>
      <c r="I70" s="66"/>
      <c r="J70" s="48"/>
      <c r="K70" s="439"/>
      <c r="L70" s="48"/>
      <c r="M70" s="66"/>
      <c r="O70"/>
    </row>
    <row r="71" spans="1:15" ht="19.5">
      <c r="A71" s="52"/>
      <c r="D71" s="48"/>
      <c r="E71" s="439"/>
      <c r="F71" s="48"/>
      <c r="G71" s="439"/>
      <c r="H71" s="48"/>
      <c r="I71" s="439"/>
      <c r="J71" s="48"/>
      <c r="K71" s="439"/>
      <c r="L71" s="48"/>
      <c r="M71" s="66"/>
      <c r="O71"/>
    </row>
    <row r="72" spans="1:15" ht="12.75">
      <c r="O72"/>
    </row>
    <row r="73" spans="1:15" ht="12.75">
      <c r="O73"/>
    </row>
    <row r="74" spans="1:15" ht="12.75">
      <c r="G74" s="440"/>
      <c r="O74"/>
    </row>
    <row r="215" spans="7:7" ht="15.75" thickBot="1"/>
    <row r="216" spans="7:7" ht="20.25" thickBot="1">
      <c r="G216" s="441"/>
    </row>
  </sheetData>
  <mergeCells count="7">
    <mergeCell ref="A8:M8"/>
    <mergeCell ref="A7:M7"/>
    <mergeCell ref="C46:M46"/>
    <mergeCell ref="A3:M3"/>
    <mergeCell ref="A4:M4"/>
    <mergeCell ref="A5:M5"/>
    <mergeCell ref="A6:M6"/>
  </mergeCells>
  <phoneticPr fontId="72" type="noConversion"/>
  <pageMargins left="0.82" right="1.28" top="0.81" bottom="1" header="0.75" footer="0.5"/>
  <pageSetup scale="37" orientation="portrait" r:id="rId1"/>
  <headerFooter alignWithMargins="0">
    <oddHeader>&amp;R&amp;"Arial,Bold"Formula Rate 
&amp;A
Page &amp;P of &amp;N</oddHeader>
  </headerFooter>
  <colBreaks count="1" manualBreakCount="1">
    <brk id="13" min="2" max="9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T118"/>
  <sheetViews>
    <sheetView tabSelected="1" view="pageBreakPreview" topLeftCell="A9" zoomScale="60" zoomScaleNormal="60" workbookViewId="0">
      <selection activeCell="O54" sqref="O54"/>
    </sheetView>
  </sheetViews>
  <sheetFormatPr defaultRowHeight="12.75"/>
  <cols>
    <col min="1" max="1" width="7.28515625" style="59" customWidth="1"/>
    <col min="2" max="2" width="1.7109375" style="50" customWidth="1"/>
    <col min="3" max="3" width="65" style="50" customWidth="1"/>
    <col min="4" max="4" width="19.140625" style="50" customWidth="1"/>
    <col min="5" max="5" width="20.42578125" style="55" customWidth="1"/>
    <col min="6" max="6" width="20.42578125" style="50" bestFit="1" customWidth="1"/>
    <col min="7" max="7" width="35.7109375" style="50" bestFit="1" customWidth="1"/>
    <col min="8" max="8" width="17.7109375" style="50" customWidth="1"/>
    <col min="9" max="9" width="22.42578125" style="50" customWidth="1"/>
    <col min="10" max="16384" width="9.140625" style="50"/>
  </cols>
  <sheetData>
    <row r="1" spans="1:20" ht="15.75">
      <c r="A1" s="738" t="s">
        <v>414</v>
      </c>
    </row>
    <row r="2" spans="1:20" ht="15.75">
      <c r="A2" s="738" t="s">
        <v>414</v>
      </c>
    </row>
    <row r="3" spans="1:20" ht="18.75" customHeight="1">
      <c r="A3" s="1161" t="str">
        <f>TCOS!$F$5</f>
        <v>AEPTCo subsidiaries in PJM</v>
      </c>
      <c r="B3" s="1161" t="str">
        <f>TCOS!$F$5</f>
        <v>AEPTCo subsidiaries in PJM</v>
      </c>
      <c r="C3" s="1161" t="str">
        <f>TCOS!$F$5</f>
        <v>AEPTCo subsidiaries in PJM</v>
      </c>
      <c r="D3" s="1161" t="str">
        <f>TCOS!$F$5</f>
        <v>AEPTCo subsidiaries in PJM</v>
      </c>
      <c r="E3" s="1161" t="str">
        <f>TCOS!$F$5</f>
        <v>AEPTCo subsidiaries in PJM</v>
      </c>
      <c r="F3" s="1204"/>
      <c r="G3" s="1204"/>
    </row>
    <row r="4" spans="1:20" ht="18.75" customHeight="1">
      <c r="A4" s="1161" t="str">
        <f>"Cost of Service Formula Rate Using Actual/Projected FF1 Balances"</f>
        <v>Cost of Service Formula Rate Using Actual/Projected FF1 Balances</v>
      </c>
      <c r="B4" s="1161"/>
      <c r="C4" s="1161"/>
      <c r="D4" s="1161"/>
      <c r="E4" s="1161"/>
      <c r="F4" s="1204"/>
      <c r="G4" s="1204"/>
      <c r="H4" s="1161"/>
      <c r="I4" s="1161"/>
      <c r="J4" s="1161"/>
      <c r="K4" s="1161"/>
      <c r="L4" s="1161"/>
      <c r="M4" s="1204"/>
    </row>
    <row r="5" spans="1:20" ht="18.75" customHeight="1">
      <c r="A5" s="1162" t="s">
        <v>254</v>
      </c>
      <c r="B5" s="1162"/>
      <c r="C5" s="1162"/>
      <c r="D5" s="1162"/>
      <c r="E5" s="1162"/>
      <c r="F5" s="1204"/>
      <c r="G5" s="1204"/>
    </row>
    <row r="6" spans="1:20" ht="18" customHeight="1">
      <c r="A6" s="1206" t="str">
        <f>+TCOS!F9</f>
        <v>AEP Indiana Michigan Transmission Company</v>
      </c>
      <c r="B6" s="1206"/>
      <c r="C6" s="1206"/>
      <c r="D6" s="1206"/>
      <c r="E6" s="1206"/>
      <c r="F6" s="1159"/>
      <c r="G6" s="1159"/>
      <c r="H6" s="106"/>
      <c r="I6" s="106"/>
      <c r="J6" s="106"/>
      <c r="K6" s="106"/>
      <c r="L6" s="106"/>
      <c r="M6" s="106"/>
    </row>
    <row r="7" spans="1:20" ht="18" customHeight="1">
      <c r="A7" s="67"/>
      <c r="B7" s="67"/>
      <c r="C7" s="67"/>
      <c r="D7" s="67"/>
      <c r="E7" s="67"/>
      <c r="F7" s="67"/>
    </row>
    <row r="8" spans="1:20" ht="19.5" customHeight="1">
      <c r="A8" s="52"/>
      <c r="B8" s="51"/>
      <c r="C8" s="15" t="s">
        <v>460</v>
      </c>
      <c r="E8" s="15" t="s">
        <v>461</v>
      </c>
      <c r="F8" s="15" t="s">
        <v>462</v>
      </c>
      <c r="G8" s="15" t="s">
        <v>463</v>
      </c>
    </row>
    <row r="9" spans="1:20" ht="18">
      <c r="A9" s="80"/>
      <c r="B9" s="81"/>
      <c r="C9" s="81"/>
      <c r="D9" s="81"/>
      <c r="E9"/>
      <c r="F9"/>
      <c r="G9" s="17"/>
      <c r="H9" s="17"/>
      <c r="I9" s="17"/>
      <c r="J9" s="17"/>
      <c r="K9" s="17"/>
      <c r="L9" s="17"/>
      <c r="M9" s="17"/>
      <c r="N9" s="17"/>
      <c r="O9" s="17"/>
      <c r="P9" s="17"/>
      <c r="Q9" s="17"/>
      <c r="R9" s="17"/>
      <c r="S9" s="17"/>
      <c r="T9" s="17"/>
    </row>
    <row r="10" spans="1:20" ht="18">
      <c r="A10" s="80" t="s">
        <v>467</v>
      </c>
      <c r="B10" s="81"/>
      <c r="C10" s="81"/>
      <c r="D10" s="81"/>
      <c r="E10" s="82" t="s">
        <v>418</v>
      </c>
      <c r="F10" s="80" t="s">
        <v>2</v>
      </c>
    </row>
    <row r="11" spans="1:20" ht="18">
      <c r="A11" s="83" t="s">
        <v>417</v>
      </c>
      <c r="B11" s="99"/>
      <c r="C11" s="83" t="s">
        <v>268</v>
      </c>
      <c r="D11" s="99"/>
      <c r="E11" s="84" t="s">
        <v>481</v>
      </c>
      <c r="F11" s="83" t="s">
        <v>3</v>
      </c>
      <c r="G11" s="84" t="s">
        <v>4</v>
      </c>
    </row>
    <row r="12" spans="1:20" ht="18">
      <c r="A12" s="52"/>
      <c r="B12" s="51"/>
      <c r="C12" s="49"/>
      <c r="D12" s="49"/>
      <c r="E12" s="49"/>
      <c r="F12" s="80"/>
      <c r="G12" s="82"/>
    </row>
    <row r="13" spans="1:20" ht="19.5">
      <c r="A13" s="52">
        <v>1</v>
      </c>
      <c r="B13" s="51"/>
      <c r="C13" s="53" t="s">
        <v>126</v>
      </c>
      <c r="D13" s="51"/>
      <c r="E13" s="48"/>
      <c r="F13" s="51"/>
    </row>
    <row r="14" spans="1:20" ht="19.5">
      <c r="A14" s="52">
        <f>+A13+1</f>
        <v>2</v>
      </c>
      <c r="B14" s="51"/>
      <c r="C14" s="48" t="s">
        <v>111</v>
      </c>
      <c r="D14" s="51"/>
      <c r="E14" s="66">
        <f>SUM(F15:F21)</f>
        <v>1</v>
      </c>
      <c r="F14" s="48"/>
    </row>
    <row r="15" spans="1:20" ht="19.5">
      <c r="A15" s="52"/>
      <c r="B15" s="51"/>
      <c r="C15" s="48"/>
      <c r="D15" s="1084"/>
      <c r="E15" s="100"/>
      <c r="F15" s="446">
        <v>1</v>
      </c>
      <c r="G15" s="101" t="s">
        <v>1097</v>
      </c>
    </row>
    <row r="16" spans="1:20" ht="19.5">
      <c r="A16" s="52"/>
      <c r="B16" s="51"/>
      <c r="C16" s="48"/>
      <c r="D16" s="1084"/>
      <c r="E16" s="100"/>
      <c r="F16" s="446"/>
      <c r="G16" s="101"/>
    </row>
    <row r="17" spans="1:9" ht="19.5">
      <c r="A17" s="52"/>
      <c r="B17" s="51"/>
      <c r="C17" s="48"/>
      <c r="D17" s="51"/>
      <c r="E17" s="100"/>
      <c r="F17" s="446"/>
      <c r="G17" s="101"/>
    </row>
    <row r="18" spans="1:9" ht="19.5">
      <c r="A18" s="780"/>
      <c r="B18" s="744"/>
      <c r="C18" s="742"/>
      <c r="D18" s="744"/>
      <c r="E18" s="741"/>
      <c r="F18" s="740"/>
      <c r="G18" s="739"/>
      <c r="H18" s="743"/>
      <c r="I18" s="743"/>
    </row>
    <row r="19" spans="1:9" ht="18">
      <c r="A19" s="52"/>
      <c r="B19" s="51"/>
      <c r="C19" s="918" t="s">
        <v>460</v>
      </c>
      <c r="D19" s="918" t="s">
        <v>461</v>
      </c>
      <c r="E19" s="918" t="s">
        <v>462</v>
      </c>
      <c r="F19" s="918" t="s">
        <v>463</v>
      </c>
      <c r="G19" s="918" t="s">
        <v>383</v>
      </c>
      <c r="H19" s="919" t="s">
        <v>384</v>
      </c>
      <c r="I19" s="918" t="s">
        <v>385</v>
      </c>
    </row>
    <row r="20" spans="1:9" ht="47.25">
      <c r="A20" s="52"/>
      <c r="B20" s="51"/>
      <c r="C20" s="920" t="s">
        <v>696</v>
      </c>
      <c r="D20" s="921" t="s">
        <v>692</v>
      </c>
      <c r="E20" s="921" t="s">
        <v>693</v>
      </c>
      <c r="F20" s="921" t="s">
        <v>694</v>
      </c>
      <c r="G20" s="921" t="s">
        <v>4</v>
      </c>
      <c r="H20" s="922" t="s">
        <v>695</v>
      </c>
      <c r="I20" s="922" t="s">
        <v>697</v>
      </c>
    </row>
    <row r="21" spans="1:9" ht="19.5">
      <c r="A21" s="52"/>
      <c r="B21" s="51"/>
      <c r="C21" s="48"/>
      <c r="D21" s="51"/>
      <c r="E21" s="66"/>
      <c r="F21" s="746"/>
    </row>
    <row r="22" spans="1:9" ht="58.5">
      <c r="A22" s="52">
        <f>+A14+1</f>
        <v>3</v>
      </c>
      <c r="B22" s="51"/>
      <c r="C22" s="917" t="str">
        <f>"Real Estate and Personal Property Taxes Total
 (Ln "&amp;A23&amp;" + Ln "&amp;A30 &amp;" + Ln "&amp;A37&amp;" + Ln "&amp;A40&amp;")"</f>
        <v>Real Estate and Personal Property Taxes Total
 (Ln 4 + Ln 5 + Ln 6 + Ln 7)</v>
      </c>
      <c r="D22" s="51"/>
      <c r="E22" s="781">
        <f>E23+E30+E37+E40</f>
        <v>28414000.219999999</v>
      </c>
      <c r="F22" s="66"/>
      <c r="G22" s="48"/>
      <c r="I22" s="781">
        <f>I23+I30+I37+I40</f>
        <v>8831000.2200000007</v>
      </c>
    </row>
    <row r="23" spans="1:9" ht="19.5">
      <c r="A23" s="52">
        <f>+A22+1</f>
        <v>4</v>
      </c>
      <c r="B23" s="51"/>
      <c r="C23" s="51" t="s">
        <v>810</v>
      </c>
      <c r="D23" s="51"/>
      <c r="E23" s="66">
        <f>SUM(F24:F29)</f>
        <v>13528663.960000001</v>
      </c>
      <c r="F23" s="100"/>
      <c r="G23" s="48"/>
      <c r="I23" s="66">
        <f>SUM(I24:I29)</f>
        <v>13528663.960000001</v>
      </c>
    </row>
    <row r="24" spans="1:9" ht="19.5">
      <c r="A24" s="52"/>
      <c r="B24" s="51"/>
      <c r="C24" s="51"/>
      <c r="D24" s="52">
        <v>2023</v>
      </c>
      <c r="E24" s="66"/>
      <c r="F24" s="446">
        <v>-1488038.95</v>
      </c>
      <c r="G24" s="748"/>
      <c r="H24" s="982">
        <v>1</v>
      </c>
      <c r="I24" s="746">
        <f t="shared" ref="I24:I29" si="0">F24*H24</f>
        <v>-1488038.95</v>
      </c>
    </row>
    <row r="25" spans="1:9" ht="19.5">
      <c r="A25" s="52"/>
      <c r="B25" s="51"/>
      <c r="C25" s="51"/>
      <c r="D25" s="52">
        <v>2024</v>
      </c>
      <c r="E25" s="66"/>
      <c r="F25" s="446">
        <v>15016700</v>
      </c>
      <c r="G25" s="748"/>
      <c r="H25" s="982">
        <v>1</v>
      </c>
      <c r="I25" s="746">
        <f t="shared" si="0"/>
        <v>15016700</v>
      </c>
    </row>
    <row r="26" spans="1:9" ht="19.5">
      <c r="A26" s="52"/>
      <c r="B26" s="51"/>
      <c r="C26" s="51"/>
      <c r="D26" s="52">
        <v>2025</v>
      </c>
      <c r="E26" s="66"/>
      <c r="F26" s="446">
        <v>2.91</v>
      </c>
      <c r="G26" s="748"/>
      <c r="H26" s="982">
        <v>1</v>
      </c>
      <c r="I26" s="746">
        <f t="shared" si="0"/>
        <v>2.91</v>
      </c>
    </row>
    <row r="27" spans="1:9" ht="19.5">
      <c r="A27" s="52"/>
      <c r="B27" s="51"/>
      <c r="C27" s="51"/>
      <c r="D27" s="52"/>
      <c r="E27" s="66"/>
      <c r="F27" s="446"/>
      <c r="G27" s="748"/>
      <c r="H27" s="980"/>
      <c r="I27" s="746">
        <f t="shared" si="0"/>
        <v>0</v>
      </c>
    </row>
    <row r="28" spans="1:9" ht="19.5">
      <c r="A28" s="52"/>
      <c r="B28" s="51"/>
      <c r="C28" s="51"/>
      <c r="D28" s="52"/>
      <c r="E28" s="66"/>
      <c r="F28" s="446"/>
      <c r="G28" s="748"/>
      <c r="H28" s="980"/>
      <c r="I28" s="746">
        <f t="shared" si="0"/>
        <v>0</v>
      </c>
    </row>
    <row r="29" spans="1:9" ht="19.5">
      <c r="A29" s="52"/>
      <c r="B29" s="51"/>
      <c r="C29" s="51"/>
      <c r="D29" s="52"/>
      <c r="E29" s="66"/>
      <c r="F29" s="446"/>
      <c r="G29" s="748"/>
      <c r="H29" s="980"/>
      <c r="I29" s="746">
        <f t="shared" si="0"/>
        <v>0</v>
      </c>
    </row>
    <row r="30" spans="1:9" ht="19.5">
      <c r="A30" s="52">
        <f>+A23+1</f>
        <v>5</v>
      </c>
      <c r="B30" s="51"/>
      <c r="C30" s="51" t="s">
        <v>811</v>
      </c>
      <c r="D30" s="52"/>
      <c r="E30" s="66">
        <f>SUM(F31:F36)</f>
        <v>14885336.26</v>
      </c>
      <c r="F30" s="66"/>
      <c r="G30" s="48"/>
      <c r="H30" s="981"/>
      <c r="I30" s="746">
        <f>SUM(I31:I36)</f>
        <v>-4697663.74</v>
      </c>
    </row>
    <row r="31" spans="1:9" ht="19.5">
      <c r="A31" s="52"/>
      <c r="B31" s="51"/>
      <c r="C31" s="51"/>
      <c r="D31" s="52">
        <v>2023</v>
      </c>
      <c r="E31" s="66"/>
      <c r="F31" s="446">
        <v>-1633.26</v>
      </c>
      <c r="G31" s="748"/>
      <c r="H31" s="982">
        <v>1</v>
      </c>
      <c r="I31" s="746">
        <f t="shared" ref="I31:I36" si="1">F31*H31</f>
        <v>-1633.26</v>
      </c>
    </row>
    <row r="32" spans="1:9" ht="19.5">
      <c r="A32" s="52"/>
      <c r="B32" s="51"/>
      <c r="C32" s="51"/>
      <c r="D32" s="52">
        <v>2024</v>
      </c>
      <c r="E32" s="66"/>
      <c r="F32" s="446">
        <v>-4696030.4800000004</v>
      </c>
      <c r="G32" s="748"/>
      <c r="H32" s="982">
        <v>1</v>
      </c>
      <c r="I32" s="746">
        <f t="shared" si="1"/>
        <v>-4696030.4800000004</v>
      </c>
    </row>
    <row r="33" spans="1:9" ht="19.5">
      <c r="A33" s="52"/>
      <c r="B33" s="51"/>
      <c r="C33" s="51"/>
      <c r="D33" s="52">
        <v>2025</v>
      </c>
      <c r="E33" s="66"/>
      <c r="F33" s="446">
        <v>19583000</v>
      </c>
      <c r="G33" s="748"/>
      <c r="H33" s="982"/>
      <c r="I33" s="746">
        <f t="shared" si="1"/>
        <v>0</v>
      </c>
    </row>
    <row r="34" spans="1:9" ht="19.5">
      <c r="A34" s="52"/>
      <c r="B34" s="51"/>
      <c r="C34" s="51"/>
      <c r="D34" s="51"/>
      <c r="E34" s="66"/>
      <c r="F34" s="446"/>
      <c r="G34" s="748"/>
      <c r="H34" s="446"/>
      <c r="I34" s="746">
        <f t="shared" si="1"/>
        <v>0</v>
      </c>
    </row>
    <row r="35" spans="1:9" ht="19.5">
      <c r="A35" s="52"/>
      <c r="B35" s="51"/>
      <c r="C35" s="51"/>
      <c r="D35" s="51"/>
      <c r="E35" s="66"/>
      <c r="F35" s="446"/>
      <c r="G35" s="748"/>
      <c r="H35" s="446"/>
      <c r="I35" s="746">
        <f t="shared" si="1"/>
        <v>0</v>
      </c>
    </row>
    <row r="36" spans="1:9" ht="19.5">
      <c r="A36" s="52"/>
      <c r="B36" s="51"/>
      <c r="C36" s="51"/>
      <c r="D36" s="51"/>
      <c r="E36" s="66"/>
      <c r="F36" s="446"/>
      <c r="G36" s="748"/>
      <c r="H36" s="446"/>
      <c r="I36" s="746">
        <f t="shared" si="1"/>
        <v>0</v>
      </c>
    </row>
    <row r="37" spans="1:9" ht="19.5">
      <c r="A37" s="52">
        <f>+A30+1</f>
        <v>6</v>
      </c>
      <c r="B37" s="51"/>
      <c r="C37" s="51" t="s">
        <v>617</v>
      </c>
      <c r="D37" s="51"/>
      <c r="E37" s="66">
        <f>+F38+F39</f>
        <v>0</v>
      </c>
      <c r="F37" s="48"/>
      <c r="I37" s="440">
        <f>SUM(I38:I39)</f>
        <v>0</v>
      </c>
    </row>
    <row r="38" spans="1:9" ht="19.5">
      <c r="A38" s="52"/>
      <c r="B38" s="51"/>
      <c r="C38" s="51"/>
      <c r="D38" s="51"/>
      <c r="E38" s="66"/>
      <c r="F38" s="446"/>
      <c r="G38" s="748"/>
      <c r="H38" s="747"/>
      <c r="I38" s="746">
        <f>F38*H38</f>
        <v>0</v>
      </c>
    </row>
    <row r="39" spans="1:9" ht="19.5">
      <c r="A39" s="52"/>
      <c r="B39" s="51"/>
      <c r="C39" s="51"/>
      <c r="D39" s="51"/>
      <c r="E39" s="66"/>
      <c r="F39" s="446"/>
      <c r="G39" s="748"/>
      <c r="H39" s="446"/>
      <c r="I39" s="746">
        <f>F39*H39</f>
        <v>0</v>
      </c>
    </row>
    <row r="40" spans="1:9" ht="19.5">
      <c r="A40" s="52">
        <f>+A37+1</f>
        <v>7</v>
      </c>
      <c r="B40" s="51"/>
      <c r="C40" s="51" t="s">
        <v>251</v>
      </c>
      <c r="D40" s="89"/>
      <c r="E40" s="66">
        <f>+F41</f>
        <v>0</v>
      </c>
      <c r="F40" s="51"/>
      <c r="I40" s="440">
        <f>SUM(I41)</f>
        <v>0</v>
      </c>
    </row>
    <row r="41" spans="1:9" ht="19.5">
      <c r="A41" s="52"/>
      <c r="B41" s="51"/>
      <c r="C41" s="51"/>
      <c r="D41" s="89"/>
      <c r="E41" s="66"/>
      <c r="F41" s="446"/>
      <c r="G41" s="748"/>
      <c r="H41" s="446"/>
      <c r="I41" s="746">
        <f>F41*H41</f>
        <v>0</v>
      </c>
    </row>
    <row r="42" spans="1:9" ht="19.5">
      <c r="A42" s="780"/>
      <c r="B42" s="744"/>
      <c r="C42" s="744"/>
      <c r="D42" s="745"/>
      <c r="E42" s="781"/>
      <c r="F42" s="744"/>
      <c r="G42" s="743"/>
      <c r="H42" s="743"/>
      <c r="I42" s="743"/>
    </row>
    <row r="43" spans="1:9" ht="23.25" customHeight="1">
      <c r="A43" s="52"/>
      <c r="B43" s="51"/>
      <c r="C43" s="51"/>
      <c r="D43" s="89"/>
      <c r="E43" s="66"/>
      <c r="F43" s="51"/>
    </row>
    <row r="44" spans="1:9" ht="18">
      <c r="A44" s="52"/>
      <c r="B44" s="51"/>
      <c r="C44" s="15" t="s">
        <v>460</v>
      </c>
      <c r="E44" s="15" t="s">
        <v>461</v>
      </c>
      <c r="F44" s="15" t="s">
        <v>462</v>
      </c>
      <c r="G44" s="15" t="s">
        <v>463</v>
      </c>
    </row>
    <row r="45" spans="1:9" ht="18">
      <c r="A45" s="80"/>
      <c r="B45" s="81"/>
      <c r="C45" s="81"/>
      <c r="D45" s="81"/>
      <c r="E45"/>
      <c r="F45"/>
      <c r="G45" s="17"/>
    </row>
    <row r="46" spans="1:9" ht="18">
      <c r="A46" s="80" t="s">
        <v>467</v>
      </c>
      <c r="B46" s="81"/>
      <c r="C46" s="81"/>
      <c r="D46" s="81"/>
      <c r="E46" s="82" t="s">
        <v>418</v>
      </c>
      <c r="F46" s="80" t="s">
        <v>2</v>
      </c>
    </row>
    <row r="47" spans="1:9" ht="18">
      <c r="A47" s="83" t="s">
        <v>417</v>
      </c>
      <c r="B47" s="99"/>
      <c r="C47" s="83" t="s">
        <v>268</v>
      </c>
      <c r="D47" s="99"/>
      <c r="E47" s="84" t="s">
        <v>481</v>
      </c>
      <c r="F47" s="83" t="s">
        <v>3</v>
      </c>
      <c r="G47" s="84" t="s">
        <v>4</v>
      </c>
    </row>
    <row r="48" spans="1:9" ht="19.5">
      <c r="A48" s="52"/>
      <c r="B48" s="51"/>
      <c r="C48" s="54"/>
      <c r="D48" s="51"/>
      <c r="E48" s="48"/>
    </row>
    <row r="49" spans="1:7" ht="19.5">
      <c r="A49" s="52">
        <f>+A40+1</f>
        <v>8</v>
      </c>
      <c r="B49" s="51"/>
      <c r="C49" s="53" t="s">
        <v>128</v>
      </c>
      <c r="D49" s="51"/>
      <c r="E49" s="48"/>
      <c r="F49" s="102"/>
      <c r="G49" s="48"/>
    </row>
    <row r="50" spans="1:7" ht="19.5">
      <c r="A50" s="52">
        <f>+A49+1</f>
        <v>9</v>
      </c>
      <c r="B50" s="51"/>
      <c r="C50" s="51" t="s">
        <v>124</v>
      </c>
      <c r="D50" s="51"/>
      <c r="E50" s="66">
        <f>+F51</f>
        <v>0</v>
      </c>
      <c r="F50" s="48"/>
      <c r="G50" s="48"/>
    </row>
    <row r="51" spans="1:7" ht="19.5">
      <c r="A51" s="52"/>
      <c r="B51" s="51"/>
      <c r="C51" s="51"/>
      <c r="D51" s="51"/>
      <c r="E51" s="66"/>
      <c r="F51" s="446"/>
      <c r="G51" s="101"/>
    </row>
    <row r="52" spans="1:7" ht="19.5">
      <c r="A52" s="52">
        <f>+A50+1</f>
        <v>10</v>
      </c>
      <c r="B52" s="51"/>
      <c r="C52" s="51" t="s">
        <v>117</v>
      </c>
      <c r="D52" s="51"/>
      <c r="E52" s="66">
        <f>+F53</f>
        <v>0</v>
      </c>
      <c r="F52" s="48"/>
      <c r="G52" s="48"/>
    </row>
    <row r="53" spans="1:7" ht="19.5">
      <c r="A53" s="52"/>
      <c r="B53" s="51"/>
      <c r="C53" s="51"/>
      <c r="D53" s="51"/>
      <c r="E53" s="66"/>
      <c r="F53" s="446"/>
      <c r="G53" s="101"/>
    </row>
    <row r="54" spans="1:7" ht="19.5">
      <c r="A54" s="52">
        <f>+A52+1</f>
        <v>11</v>
      </c>
      <c r="B54" s="51"/>
      <c r="C54" s="51" t="s">
        <v>118</v>
      </c>
      <c r="D54" s="51"/>
      <c r="E54" s="66">
        <f>+F55+F56+F57</f>
        <v>0</v>
      </c>
      <c r="F54" s="48"/>
      <c r="G54" s="48"/>
    </row>
    <row r="55" spans="1:7" ht="19.5">
      <c r="A55" s="52" t="s">
        <v>414</v>
      </c>
      <c r="B55" s="51"/>
      <c r="C55" s="48"/>
      <c r="D55" s="51"/>
      <c r="E55" s="48"/>
      <c r="F55" s="446"/>
      <c r="G55" s="101"/>
    </row>
    <row r="56" spans="1:7" ht="19.5">
      <c r="A56" s="52"/>
      <c r="B56" s="51"/>
      <c r="C56" s="48"/>
      <c r="D56" s="51"/>
      <c r="E56" s="48"/>
      <c r="F56" s="446"/>
      <c r="G56" s="101"/>
    </row>
    <row r="57" spans="1:7" ht="19.5">
      <c r="A57" s="52"/>
      <c r="B57" s="51"/>
      <c r="C57" s="48"/>
      <c r="D57" s="51"/>
      <c r="E57" s="48"/>
      <c r="F57" s="446"/>
      <c r="G57" s="101"/>
    </row>
    <row r="58" spans="1:7" ht="19.5">
      <c r="A58" s="52">
        <f>A54+1</f>
        <v>12</v>
      </c>
      <c r="B58" s="51"/>
      <c r="C58" s="108" t="s">
        <v>323</v>
      </c>
      <c r="D58" s="51"/>
      <c r="E58" s="107"/>
      <c r="F58" s="48"/>
      <c r="G58" s="48"/>
    </row>
    <row r="59" spans="1:7" ht="19.5">
      <c r="A59" s="52">
        <f>A58+1</f>
        <v>13</v>
      </c>
      <c r="B59" s="51"/>
      <c r="C59" s="48" t="s">
        <v>222</v>
      </c>
      <c r="D59" s="89"/>
      <c r="E59" s="66">
        <f>+F60</f>
        <v>0</v>
      </c>
      <c r="G59" s="48"/>
    </row>
    <row r="60" spans="1:7" ht="19.5">
      <c r="A60" s="52"/>
      <c r="B60" s="51"/>
      <c r="C60" s="48"/>
      <c r="D60" s="51"/>
      <c r="E60" s="48"/>
      <c r="F60" s="446"/>
      <c r="G60" s="48"/>
    </row>
    <row r="61" spans="1:7" ht="19.5">
      <c r="A61" s="56">
        <f>A59+1</f>
        <v>14</v>
      </c>
      <c r="B61" s="57"/>
      <c r="C61" s="53" t="s">
        <v>125</v>
      </c>
      <c r="D61" s="58"/>
      <c r="E61" s="48"/>
      <c r="F61" s="100"/>
      <c r="G61" s="48"/>
    </row>
    <row r="62" spans="1:7" ht="19.5">
      <c r="A62" s="56">
        <f>A61+1</f>
        <v>15</v>
      </c>
      <c r="B62" s="57"/>
      <c r="C62" s="48" t="s">
        <v>221</v>
      </c>
      <c r="D62" s="58"/>
      <c r="E62" s="66">
        <f>+F63+F64</f>
        <v>0</v>
      </c>
      <c r="F62" s="48"/>
      <c r="G62" s="48"/>
    </row>
    <row r="63" spans="1:7" ht="19.5">
      <c r="A63" s="56"/>
      <c r="B63" s="57"/>
      <c r="C63" s="48"/>
      <c r="D63" s="58"/>
      <c r="E63" s="66"/>
      <c r="F63" s="446"/>
      <c r="G63" s="101"/>
    </row>
    <row r="64" spans="1:7" ht="19.5">
      <c r="A64" s="56"/>
      <c r="B64" s="57"/>
      <c r="C64" s="48"/>
      <c r="D64" s="58"/>
      <c r="E64" s="66"/>
      <c r="F64" s="446"/>
      <c r="G64" s="101"/>
    </row>
    <row r="65" spans="1:7" ht="19.5">
      <c r="A65" s="52">
        <f>A62+1</f>
        <v>16</v>
      </c>
      <c r="B65" s="51"/>
      <c r="C65" s="48" t="s">
        <v>119</v>
      </c>
      <c r="D65" s="51"/>
      <c r="E65" s="66">
        <f>+F66+F67+F68</f>
        <v>0</v>
      </c>
      <c r="F65" s="48"/>
      <c r="G65" s="48"/>
    </row>
    <row r="66" spans="1:7" ht="19.5">
      <c r="A66" s="52"/>
      <c r="B66" s="51"/>
      <c r="C66" s="48"/>
      <c r="D66" s="51"/>
      <c r="E66" s="66"/>
      <c r="F66" s="446"/>
      <c r="G66" s="101"/>
    </row>
    <row r="67" spans="1:7" ht="19.5">
      <c r="A67" s="52"/>
      <c r="B67" s="51"/>
      <c r="C67" s="48"/>
      <c r="D67" s="51"/>
      <c r="E67" s="66"/>
      <c r="F67" s="446"/>
      <c r="G67" s="101"/>
    </row>
    <row r="68" spans="1:7" ht="19.5">
      <c r="A68" s="52"/>
      <c r="B68" s="51"/>
      <c r="C68" s="48"/>
      <c r="D68" s="51"/>
      <c r="E68" s="66"/>
      <c r="F68" s="446"/>
      <c r="G68" s="101"/>
    </row>
    <row r="69" spans="1:7" ht="19.5">
      <c r="A69" s="52">
        <f>+A65+1</f>
        <v>17</v>
      </c>
      <c r="B69" s="51"/>
      <c r="C69" s="48" t="s">
        <v>120</v>
      </c>
      <c r="D69"/>
      <c r="E69" s="66">
        <f>SUM(F70:F80)</f>
        <v>0</v>
      </c>
      <c r="F69" s="48"/>
      <c r="G69" s="48"/>
    </row>
    <row r="70" spans="1:7" ht="19.5">
      <c r="A70" s="52"/>
      <c r="B70" s="51"/>
      <c r="C70" s="48"/>
      <c r="D70"/>
      <c r="E70" s="66"/>
      <c r="F70" s="446"/>
      <c r="G70" s="101"/>
    </row>
    <row r="71" spans="1:7" ht="19.5">
      <c r="A71" s="52"/>
      <c r="B71" s="51"/>
      <c r="C71" s="48"/>
      <c r="D71"/>
      <c r="E71" s="66"/>
      <c r="F71" s="446"/>
      <c r="G71" s="101"/>
    </row>
    <row r="72" spans="1:7" ht="19.5">
      <c r="A72" s="52"/>
      <c r="B72" s="51"/>
      <c r="C72" s="48"/>
      <c r="D72"/>
      <c r="E72" s="66"/>
      <c r="F72" s="446"/>
      <c r="G72" s="101"/>
    </row>
    <row r="73" spans="1:7" ht="19.5">
      <c r="A73" s="52"/>
      <c r="B73" s="51"/>
      <c r="C73" s="48"/>
      <c r="D73"/>
      <c r="E73" s="66"/>
      <c r="F73" s="446"/>
      <c r="G73" s="101"/>
    </row>
    <row r="74" spans="1:7" ht="19.5">
      <c r="A74" s="52"/>
      <c r="B74" s="51"/>
      <c r="C74" s="48"/>
      <c r="D74"/>
      <c r="E74" s="66"/>
      <c r="F74" s="446"/>
      <c r="G74" s="101"/>
    </row>
    <row r="75" spans="1:7" ht="19.5">
      <c r="A75" s="52"/>
      <c r="B75" s="51"/>
      <c r="C75" s="48"/>
      <c r="D75"/>
      <c r="E75" s="66"/>
      <c r="F75" s="446"/>
      <c r="G75" s="101"/>
    </row>
    <row r="76" spans="1:7" ht="19.5">
      <c r="A76" s="52"/>
      <c r="B76" s="51"/>
      <c r="C76" s="48"/>
      <c r="D76"/>
      <c r="E76" s="66"/>
      <c r="F76" s="446"/>
      <c r="G76" s="101"/>
    </row>
    <row r="77" spans="1:7" ht="19.5">
      <c r="A77" s="52"/>
      <c r="B77" s="51"/>
      <c r="C77" s="48"/>
      <c r="D77"/>
      <c r="E77" s="66"/>
      <c r="F77" s="446"/>
      <c r="G77" s="101"/>
    </row>
    <row r="78" spans="1:7" ht="19.5">
      <c r="A78" s="52"/>
      <c r="B78" s="51"/>
      <c r="C78" s="48"/>
      <c r="D78"/>
      <c r="E78" s="66"/>
      <c r="F78" s="446"/>
      <c r="G78" s="101"/>
    </row>
    <row r="79" spans="1:7" ht="19.5">
      <c r="A79" s="52"/>
      <c r="B79" s="51"/>
      <c r="C79" s="48"/>
      <c r="D79"/>
      <c r="E79" s="66"/>
      <c r="F79" s="446"/>
      <c r="G79" s="101"/>
    </row>
    <row r="80" spans="1:7" ht="19.5">
      <c r="A80" s="52"/>
      <c r="B80" s="51"/>
      <c r="C80" s="48"/>
      <c r="D80"/>
      <c r="E80" s="66"/>
      <c r="F80" s="446"/>
      <c r="G80" s="101"/>
    </row>
    <row r="81" spans="1:7" ht="19.5">
      <c r="A81" s="52">
        <f>+A69+1</f>
        <v>18</v>
      </c>
      <c r="B81" s="51"/>
      <c r="C81" s="48" t="s">
        <v>121</v>
      </c>
      <c r="D81"/>
      <c r="E81" s="66">
        <f>SUM(F82:F85)</f>
        <v>0</v>
      </c>
      <c r="F81" s="48"/>
      <c r="G81" s="48"/>
    </row>
    <row r="82" spans="1:7" ht="19.5">
      <c r="A82" s="52"/>
      <c r="B82" s="51"/>
      <c r="C82" s="48"/>
      <c r="D82"/>
      <c r="E82" s="66"/>
      <c r="F82" s="446"/>
      <c r="G82" s="1089"/>
    </row>
    <row r="83" spans="1:7" ht="19.5">
      <c r="A83" s="52"/>
      <c r="B83" s="51"/>
      <c r="C83" s="48"/>
      <c r="D83"/>
      <c r="E83" s="66"/>
      <c r="F83" s="446"/>
      <c r="G83" s="101"/>
    </row>
    <row r="84" spans="1:7" ht="19.5">
      <c r="A84" s="52"/>
      <c r="B84" s="51"/>
      <c r="C84" s="48"/>
      <c r="D84"/>
      <c r="E84" s="66"/>
      <c r="F84" s="446"/>
      <c r="G84" s="101"/>
    </row>
    <row r="85" spans="1:7" ht="19.5">
      <c r="A85" s="52"/>
      <c r="B85" s="51"/>
      <c r="C85" s="48"/>
      <c r="D85"/>
      <c r="E85" s="66"/>
      <c r="F85" s="446"/>
      <c r="G85" s="101"/>
    </row>
    <row r="86" spans="1:7" ht="19.5">
      <c r="A86" s="52">
        <f>+A81+1</f>
        <v>19</v>
      </c>
      <c r="B86" s="51"/>
      <c r="C86" s="48" t="s">
        <v>122</v>
      </c>
      <c r="D86" s="51"/>
      <c r="E86" s="66">
        <f>F88+F87</f>
        <v>0</v>
      </c>
      <c r="F86" s="48"/>
      <c r="G86" s="48"/>
    </row>
    <row r="87" spans="1:7" ht="19.5">
      <c r="A87" s="52"/>
      <c r="B87" s="51"/>
      <c r="C87" s="48"/>
      <c r="D87" s="1084"/>
      <c r="E87" s="66"/>
      <c r="F87" s="446"/>
      <c r="G87" s="101"/>
    </row>
    <row r="88" spans="1:7" ht="19.5">
      <c r="A88" s="52"/>
      <c r="B88" s="51"/>
      <c r="C88" s="48"/>
      <c r="D88" s="1084"/>
      <c r="E88" s="66"/>
      <c r="F88" s="446"/>
      <c r="G88" s="101"/>
    </row>
    <row r="89" spans="1:7" ht="19.5">
      <c r="A89" s="52"/>
      <c r="B89" s="51"/>
      <c r="C89" s="48"/>
      <c r="D89" s="51"/>
      <c r="E89" s="66"/>
      <c r="F89" s="124"/>
      <c r="G89" s="48"/>
    </row>
    <row r="90" spans="1:7" ht="19.5">
      <c r="A90" s="52">
        <f>+A86+1</f>
        <v>20</v>
      </c>
      <c r="B90" s="51"/>
      <c r="C90" s="48" t="s">
        <v>123</v>
      </c>
      <c r="D90" s="51"/>
      <c r="E90" s="66">
        <f>SUM(F91:F95)</f>
        <v>0</v>
      </c>
      <c r="F90" s="48"/>
      <c r="G90" s="101" t="s">
        <v>414</v>
      </c>
    </row>
    <row r="91" spans="1:7" ht="19.5">
      <c r="A91" s="52"/>
      <c r="B91" s="51"/>
      <c r="C91" s="48"/>
      <c r="D91" s="51"/>
      <c r="E91" s="66"/>
      <c r="F91" s="446">
        <v>0</v>
      </c>
      <c r="G91" s="1089"/>
    </row>
    <row r="92" spans="1:7" ht="19.5">
      <c r="A92" s="52"/>
      <c r="B92" s="51"/>
      <c r="C92" s="48"/>
      <c r="D92" s="51"/>
      <c r="E92" s="66"/>
      <c r="F92" s="446"/>
      <c r="G92" s="101"/>
    </row>
    <row r="93" spans="1:7" ht="19.5">
      <c r="A93" s="52"/>
      <c r="B93" s="51"/>
      <c r="C93" s="48"/>
      <c r="D93" s="51"/>
      <c r="E93" s="66"/>
      <c r="F93" s="446"/>
      <c r="G93" s="101"/>
    </row>
    <row r="94" spans="1:7" ht="19.5">
      <c r="A94" s="52"/>
      <c r="B94" s="51"/>
      <c r="C94" s="48"/>
      <c r="D94" s="51"/>
      <c r="E94" s="66"/>
      <c r="F94" s="446"/>
      <c r="G94" s="101"/>
    </row>
    <row r="95" spans="1:7" ht="19.5">
      <c r="A95" s="52"/>
      <c r="B95" s="51"/>
      <c r="C95" s="48"/>
      <c r="D95" s="51"/>
      <c r="E95" s="66"/>
      <c r="F95" s="446"/>
      <c r="G95" s="101"/>
    </row>
    <row r="96" spans="1:7" ht="19.5">
      <c r="A96" s="52">
        <f>+A90+1</f>
        <v>21</v>
      </c>
      <c r="B96" s="48"/>
      <c r="C96" s="48" t="s">
        <v>112</v>
      </c>
      <c r="D96" s="48"/>
      <c r="E96" s="66">
        <f>SUM(F97:F98)</f>
        <v>0</v>
      </c>
      <c r="F96" s="100"/>
      <c r="G96" s="101"/>
    </row>
    <row r="97" spans="1:8" ht="19.5">
      <c r="A97" s="52"/>
      <c r="B97" s="48"/>
      <c r="C97" s="48"/>
      <c r="D97" s="48"/>
      <c r="E97" s="50"/>
      <c r="F97" s="446"/>
      <c r="G97" s="101"/>
    </row>
    <row r="98" spans="1:8" ht="19.5">
      <c r="A98" s="52"/>
      <c r="B98" s="48"/>
      <c r="C98" s="48"/>
      <c r="D98" s="48"/>
      <c r="E98" s="50"/>
      <c r="F98" s="446"/>
      <c r="G98" s="101"/>
    </row>
    <row r="99" spans="1:8" ht="19.5">
      <c r="A99" s="52">
        <f>+A96+1</f>
        <v>22</v>
      </c>
      <c r="B99" s="48"/>
      <c r="C99" s="61" t="s">
        <v>406</v>
      </c>
      <c r="D99" s="48"/>
      <c r="E99" s="66">
        <f>+F100</f>
        <v>0</v>
      </c>
      <c r="G99" s="48"/>
    </row>
    <row r="100" spans="1:8" ht="19.5">
      <c r="A100" s="52"/>
      <c r="B100" s="48"/>
      <c r="C100" s="61"/>
      <c r="D100" s="48"/>
      <c r="E100" s="48"/>
      <c r="F100" s="446"/>
      <c r="G100" s="48"/>
    </row>
    <row r="101" spans="1:8" ht="19.5">
      <c r="A101" s="3"/>
      <c r="B101" s="98"/>
      <c r="C101" s="98"/>
      <c r="D101"/>
      <c r="E101"/>
      <c r="F101" s="100"/>
      <c r="G101" s="48"/>
    </row>
    <row r="102" spans="1:8" ht="20.25" thickBot="1">
      <c r="A102" s="95">
        <f>+A99+1</f>
        <v>23</v>
      </c>
      <c r="B102" s="98"/>
      <c r="C102" s="48" t="s">
        <v>116</v>
      </c>
      <c r="D102"/>
      <c r="E102" s="60">
        <f>E22+E14+E90+E81</f>
        <v>28414001.219999999</v>
      </c>
      <c r="F102" s="60">
        <f>SUM(F14:F100)</f>
        <v>28414001.219999999</v>
      </c>
      <c r="G102" s="48"/>
    </row>
    <row r="103" spans="1:8" ht="20.25" thickTop="1">
      <c r="A103" s="3"/>
      <c r="B103" s="98"/>
      <c r="C103" s="48" t="s">
        <v>181</v>
      </c>
      <c r="D103"/>
      <c r="E103"/>
      <c r="F103" s="48"/>
      <c r="G103" s="48"/>
      <c r="H103" s="440"/>
    </row>
    <row r="104" spans="1:8" ht="19.5">
      <c r="A104" s="3"/>
      <c r="B104" s="98"/>
      <c r="C104" s="48"/>
      <c r="D104"/>
      <c r="E104"/>
      <c r="F104" s="66" t="s">
        <v>414</v>
      </c>
      <c r="G104" s="48"/>
    </row>
    <row r="105" spans="1:8" ht="21.75" customHeight="1">
      <c r="A105" s="1205" t="s">
        <v>770</v>
      </c>
      <c r="B105" s="1205"/>
      <c r="C105" s="1205"/>
      <c r="D105" s="1205"/>
      <c r="E105" s="1205"/>
      <c r="F105" s="1205"/>
      <c r="G105" s="1205"/>
    </row>
    <row r="106" spans="1:8" ht="21.75" customHeight="1">
      <c r="A106" s="1205"/>
      <c r="B106" s="1205"/>
      <c r="C106" s="1205"/>
      <c r="D106" s="1205"/>
      <c r="E106" s="1205"/>
      <c r="F106" s="1205"/>
      <c r="G106" s="1205"/>
    </row>
    <row r="107" spans="1:8" ht="21.75" customHeight="1">
      <c r="A107" s="1205"/>
      <c r="B107" s="1205"/>
      <c r="C107" s="1205"/>
      <c r="D107" s="1205"/>
      <c r="E107" s="1205"/>
      <c r="F107" s="1205"/>
      <c r="G107" s="1205"/>
    </row>
    <row r="108" spans="1:8" ht="21.75" customHeight="1">
      <c r="A108" s="1205"/>
      <c r="B108" s="1205"/>
      <c r="C108" s="1205"/>
      <c r="D108" s="1205"/>
      <c r="E108" s="1205"/>
      <c r="F108" s="1205"/>
      <c r="G108" s="1205"/>
    </row>
    <row r="109" spans="1:8" ht="21.75" customHeight="1">
      <c r="A109" s="1205"/>
      <c r="B109" s="1205"/>
      <c r="C109" s="1205"/>
      <c r="D109" s="1205"/>
      <c r="E109" s="1205"/>
      <c r="F109" s="1205"/>
      <c r="G109" s="1205"/>
    </row>
    <row r="110" spans="1:8" ht="19.5">
      <c r="F110" s="48"/>
      <c r="G110" s="48"/>
    </row>
    <row r="111" spans="1:8" ht="30" customHeight="1">
      <c r="A111" s="1203" t="s">
        <v>698</v>
      </c>
      <c r="B111" s="1203"/>
      <c r="C111" s="1203"/>
      <c r="D111" s="1203"/>
      <c r="E111" s="1203"/>
      <c r="F111" s="1203"/>
      <c r="G111" s="1203"/>
    </row>
    <row r="112" spans="1:8" ht="30" customHeight="1">
      <c r="A112" s="1203"/>
      <c r="B112" s="1203"/>
      <c r="C112" s="1203"/>
      <c r="D112" s="1203"/>
      <c r="E112" s="1203"/>
      <c r="F112" s="1203"/>
      <c r="G112" s="1203"/>
    </row>
    <row r="113" spans="6:7" ht="19.5">
      <c r="F113" s="100"/>
      <c r="G113" s="48"/>
    </row>
    <row r="114" spans="6:7" ht="19.5">
      <c r="F114" s="100"/>
      <c r="G114" s="48"/>
    </row>
    <row r="115" spans="6:7" ht="19.5">
      <c r="F115" s="48"/>
    </row>
    <row r="116" spans="6:7" ht="19.5">
      <c r="F116" s="48"/>
    </row>
    <row r="117" spans="6:7" ht="19.5">
      <c r="F117" s="48"/>
    </row>
    <row r="118" spans="6:7" ht="19.5">
      <c r="F118" s="48"/>
    </row>
  </sheetData>
  <mergeCells count="7">
    <mergeCell ref="A111:G112"/>
    <mergeCell ref="H4:M4"/>
    <mergeCell ref="A105:G109"/>
    <mergeCell ref="A3:G3"/>
    <mergeCell ref="A4:G4"/>
    <mergeCell ref="A5:G5"/>
    <mergeCell ref="A6:G6"/>
  </mergeCells>
  <phoneticPr fontId="72" type="noConversion"/>
  <pageMargins left="0.82" right="1.28" top="0.67" bottom="0.56000000000000005" header="0.75" footer="0.28000000000000003"/>
  <pageSetup scale="30" orientation="portrait" r:id="rId1"/>
  <headerFooter alignWithMargins="0">
    <oddHeader>&amp;R&amp;"Arial,Bold"Formula Rate 
&amp;A
Page &amp;P of &amp;N</oddHeader>
  </headerFooter>
  <colBreaks count="1" manualBreakCount="1">
    <brk id="5" max="11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M28"/>
  <sheetViews>
    <sheetView tabSelected="1" view="pageBreakPreview" zoomScale="60" zoomScaleNormal="100" workbookViewId="0">
      <selection activeCell="O54" sqref="O54"/>
    </sheetView>
  </sheetViews>
  <sheetFormatPr defaultRowHeight="12.75"/>
  <cols>
    <col min="1" max="1" width="4.7109375" customWidth="1"/>
    <col min="3" max="3" width="13.85546875" customWidth="1"/>
    <col min="4" max="4" width="18.85546875" customWidth="1"/>
    <col min="5" max="5" width="13.140625" customWidth="1"/>
    <col min="6" max="6" width="12.85546875" customWidth="1"/>
    <col min="7" max="7" width="19.42578125" customWidth="1"/>
    <col min="8" max="8" width="17.28515625" customWidth="1"/>
    <col min="9" max="9" width="18.7109375" customWidth="1"/>
    <col min="10" max="10" width="1.42578125" customWidth="1"/>
  </cols>
  <sheetData>
    <row r="1" spans="1:13" ht="15.75">
      <c r="A1" s="738" t="s">
        <v>414</v>
      </c>
    </row>
    <row r="2" spans="1:13" ht="15.75">
      <c r="A2" s="738" t="s">
        <v>414</v>
      </c>
    </row>
    <row r="3" spans="1:13" ht="18">
      <c r="A3" s="1208" t="str">
        <f>TCOS!$F$5</f>
        <v>AEPTCo subsidiaries in PJM</v>
      </c>
      <c r="B3" s="1208" t="str">
        <f>TCOS!$F$5</f>
        <v>AEPTCo subsidiaries in PJM</v>
      </c>
      <c r="C3" s="1208" t="str">
        <f>TCOS!$F$5</f>
        <v>AEPTCo subsidiaries in PJM</v>
      </c>
      <c r="D3" s="1208" t="str">
        <f>TCOS!$F$5</f>
        <v>AEPTCo subsidiaries in PJM</v>
      </c>
      <c r="E3" s="1208" t="str">
        <f>TCOS!$F$5</f>
        <v>AEPTCo subsidiaries in PJM</v>
      </c>
      <c r="F3" s="1208" t="str">
        <f>TCOS!$F$5</f>
        <v>AEPTCo subsidiaries in PJM</v>
      </c>
      <c r="G3" s="1208" t="str">
        <f>TCOS!$F$5</f>
        <v>AEPTCo subsidiaries in PJM</v>
      </c>
      <c r="H3" s="1208" t="str">
        <f>TCOS!$F$5</f>
        <v>AEPTCo subsidiaries in PJM</v>
      </c>
      <c r="I3" s="1208" t="str">
        <f>TCOS!$F$5</f>
        <v>AEPTCo subsidiaries in PJM</v>
      </c>
      <c r="J3" s="1208" t="str">
        <f>TCOS!$F$5</f>
        <v>AEPTCo subsidiaries in PJM</v>
      </c>
      <c r="K3" s="64"/>
      <c r="L3" s="64"/>
      <c r="M3" s="64"/>
    </row>
    <row r="4" spans="1:13" ht="18">
      <c r="A4" s="1207" t="str">
        <f>"Cost of Service Formula Rate Using Actual/Projected FF1 Balances"</f>
        <v>Cost of Service Formula Rate Using Actual/Projected FF1 Balances</v>
      </c>
      <c r="B4" s="1207"/>
      <c r="C4" s="1207"/>
      <c r="D4" s="1207"/>
      <c r="E4" s="1207"/>
      <c r="F4" s="1207"/>
      <c r="G4" s="1207"/>
      <c r="H4" s="1207"/>
      <c r="I4" s="1207"/>
      <c r="J4" s="1207"/>
      <c r="K4" s="44"/>
      <c r="L4" s="44"/>
      <c r="M4" s="44"/>
    </row>
    <row r="5" spans="1:13" ht="18">
      <c r="A5" s="1207" t="s">
        <v>595</v>
      </c>
      <c r="B5" s="1207"/>
      <c r="C5" s="1207"/>
      <c r="D5" s="1207"/>
      <c r="E5" s="1207"/>
      <c r="F5" s="1207"/>
      <c r="G5" s="1207"/>
      <c r="H5" s="1207"/>
      <c r="I5" s="1207"/>
      <c r="J5" s="1207"/>
      <c r="K5" s="65"/>
      <c r="L5" s="65"/>
      <c r="M5" s="65"/>
    </row>
    <row r="6" spans="1:13" ht="18">
      <c r="A6" s="1200" t="str">
        <f>+TCOS!F9</f>
        <v>AEP Indiana Michigan Transmission Company</v>
      </c>
      <c r="B6" s="1200"/>
      <c r="C6" s="1200"/>
      <c r="D6" s="1200"/>
      <c r="E6" s="1200"/>
      <c r="F6" s="1200"/>
      <c r="G6" s="1200"/>
      <c r="H6" s="1200"/>
      <c r="I6" s="1200"/>
      <c r="J6" s="1200"/>
      <c r="K6" s="67"/>
      <c r="L6" s="67"/>
      <c r="M6" s="67"/>
    </row>
    <row r="7" spans="1:13">
      <c r="H7" s="68"/>
    </row>
    <row r="8" spans="1:13" ht="15.75">
      <c r="D8" s="122" t="s">
        <v>562</v>
      </c>
    </row>
    <row r="9" spans="1:13">
      <c r="H9" s="47"/>
    </row>
    <row r="13" spans="1:13">
      <c r="H13" s="69"/>
    </row>
    <row r="14" spans="1:13">
      <c r="H14" s="85"/>
    </row>
    <row r="15" spans="1:13">
      <c r="H15" s="85"/>
    </row>
    <row r="24" spans="2:7">
      <c r="B24" s="71"/>
      <c r="G24" s="72"/>
    </row>
    <row r="25" spans="2:7">
      <c r="G25" s="72"/>
    </row>
    <row r="26" spans="2:7">
      <c r="B26" s="86"/>
      <c r="G26" s="87"/>
    </row>
    <row r="27" spans="2:7">
      <c r="G27" s="72"/>
    </row>
    <row r="28" spans="2:7">
      <c r="G28" s="73"/>
    </row>
  </sheetData>
  <mergeCells count="4">
    <mergeCell ref="A4:J4"/>
    <mergeCell ref="A3:J3"/>
    <mergeCell ref="A6:J6"/>
    <mergeCell ref="A5:J5"/>
  </mergeCells>
  <phoneticPr fontId="0" type="noConversion"/>
  <pageMargins left="0.26" right="1.28" top="1" bottom="1" header="0.75" footer="0.5"/>
  <pageSetup scale="69"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Q975"/>
  <sheetViews>
    <sheetView view="pageBreakPreview" topLeftCell="E10" zoomScale="70" zoomScaleNormal="70" zoomScaleSheetLayoutView="70" workbookViewId="0">
      <selection activeCell="Q82" sqref="Q82"/>
    </sheetView>
  </sheetViews>
  <sheetFormatPr defaultColWidth="8.85546875" defaultRowHeight="12.75"/>
  <cols>
    <col min="1" max="1" width="4.7109375" customWidth="1"/>
    <col min="2" max="2" width="6.7109375" customWidth="1"/>
    <col min="3" max="3" width="26.42578125" customWidth="1"/>
    <col min="4" max="4" width="17.7109375" style="1" customWidth="1"/>
    <col min="5" max="7" width="17.7109375" customWidth="1"/>
    <col min="8" max="8" width="17.7109375" style="343" customWidth="1"/>
    <col min="9" max="9" width="17.7109375" bestFit="1" customWidth="1"/>
    <col min="10" max="10" width="2.140625" customWidth="1"/>
    <col min="11" max="12" width="17.7109375" customWidth="1"/>
    <col min="13" max="13" width="32.42578125" customWidth="1"/>
    <col min="14" max="14" width="17.7109375" customWidth="1"/>
    <col min="15" max="15" width="16.7109375" customWidth="1"/>
    <col min="16" max="16" width="2.140625" customWidth="1"/>
  </cols>
  <sheetData>
    <row r="1" spans="1:16" ht="15.75">
      <c r="A1" s="738" t="s">
        <v>414</v>
      </c>
    </row>
    <row r="2" spans="1:16" ht="15.75">
      <c r="A2" s="738" t="s">
        <v>414</v>
      </c>
    </row>
    <row r="3" spans="1:16" ht="15">
      <c r="A3" s="1161" t="str">
        <f>TCOS!$F$5</f>
        <v>AEPTCo subsidiaries in PJM</v>
      </c>
      <c r="B3" s="1161" t="str">
        <f>TCOS!$F$5</f>
        <v>AEPTCo subsidiaries in PJM</v>
      </c>
      <c r="C3" s="1161" t="str">
        <f>TCOS!$F$5</f>
        <v>AEPTCo subsidiaries in PJM</v>
      </c>
      <c r="D3" s="1161" t="str">
        <f>TCOS!$F$5</f>
        <v>AEPTCo subsidiaries in PJM</v>
      </c>
      <c r="E3" s="1161" t="str">
        <f>TCOS!$F$5</f>
        <v>AEPTCo subsidiaries in PJM</v>
      </c>
      <c r="F3" s="1161" t="str">
        <f>TCOS!$F$5</f>
        <v>AEPTCo subsidiaries in PJM</v>
      </c>
      <c r="G3" s="1161" t="str">
        <f>TCOS!$F$5</f>
        <v>AEPTCo subsidiaries in PJM</v>
      </c>
      <c r="H3" s="1161" t="str">
        <f>TCOS!$F$5</f>
        <v>AEPTCo subsidiaries in PJM</v>
      </c>
      <c r="I3" s="1161" t="str">
        <f>TCOS!$F$5</f>
        <v>AEPTCo subsidiaries in PJM</v>
      </c>
      <c r="J3" s="1161" t="str">
        <f>TCOS!$F$5</f>
        <v>AEPTCo subsidiaries in PJM</v>
      </c>
      <c r="K3" s="1161" t="str">
        <f>TCOS!$F$5</f>
        <v>AEPTCo subsidiaries in PJM</v>
      </c>
      <c r="L3" s="1161" t="str">
        <f>TCOS!$F$5</f>
        <v>AEPTCo subsidiaries in PJM</v>
      </c>
      <c r="M3" s="1161" t="str">
        <f>TCOS!$F$5</f>
        <v>AEPTCo subsidiaries in PJM</v>
      </c>
      <c r="N3" s="1161" t="str">
        <f>TCOS!$F$5</f>
        <v>AEPTCo subsidiaries in PJM</v>
      </c>
      <c r="O3" s="1161" t="str">
        <f>TCOS!$F$5</f>
        <v>AEPTCo subsidiaries in PJM</v>
      </c>
    </row>
    <row r="4" spans="1:16" ht="15">
      <c r="A4" s="1162" t="str">
        <f>"Cost of Service Formula Rate Using Actual/Projected FF1 Balances"</f>
        <v>Cost of Service Formula Rate Using Actual/Projected FF1 Balances</v>
      </c>
      <c r="B4" s="1162"/>
      <c r="C4" s="1162"/>
      <c r="D4" s="1162"/>
      <c r="E4" s="1162"/>
      <c r="F4" s="1162"/>
      <c r="G4" s="1162"/>
      <c r="H4" s="1162"/>
      <c r="I4" s="1162"/>
      <c r="J4" s="1162"/>
      <c r="K4" s="1162"/>
      <c r="L4" s="1162"/>
      <c r="M4" s="1162"/>
      <c r="N4" s="1162"/>
      <c r="O4" s="1162"/>
    </row>
    <row r="5" spans="1:16" ht="15">
      <c r="A5" s="1162" t="s">
        <v>264</v>
      </c>
      <c r="B5" s="1162"/>
      <c r="C5" s="1162"/>
      <c r="D5" s="1162"/>
      <c r="E5" s="1162"/>
      <c r="F5" s="1162"/>
      <c r="G5" s="1162"/>
      <c r="H5" s="1162"/>
      <c r="I5" s="1162"/>
      <c r="J5" s="1162"/>
      <c r="K5" s="1162"/>
      <c r="L5" s="1162"/>
      <c r="M5" s="1162"/>
      <c r="N5" s="1162"/>
      <c r="O5" s="1162"/>
    </row>
    <row r="6" spans="1:16" ht="15">
      <c r="A6" s="1173" t="str">
        <f>TCOS!F9</f>
        <v>AEP Indiana Michigan Transmission Company</v>
      </c>
      <c r="B6" s="1173"/>
      <c r="C6" s="1173"/>
      <c r="D6" s="1173"/>
      <c r="E6" s="1173"/>
      <c r="F6" s="1173"/>
      <c r="G6" s="1173"/>
      <c r="H6" s="1173"/>
      <c r="I6" s="1173"/>
      <c r="J6" s="1173"/>
      <c r="K6" s="1173"/>
      <c r="L6" s="1173"/>
      <c r="M6" s="1173"/>
      <c r="N6" s="1173"/>
      <c r="O6" s="1173"/>
    </row>
    <row r="8" spans="1:16" ht="20.25">
      <c r="A8" s="447"/>
      <c r="N8" s="398" t="str">
        <f>"Page "&amp;P8&amp;" of "</f>
        <v xml:space="preserve">Page 1 of </v>
      </c>
      <c r="O8" s="448">
        <f>COUNT(P$8:P$56656)</f>
        <v>11</v>
      </c>
      <c r="P8" s="398">
        <v>1</v>
      </c>
    </row>
    <row r="9" spans="1:16" ht="18">
      <c r="C9" s="6"/>
    </row>
    <row r="11" spans="1:16" ht="18">
      <c r="B11" s="449" t="s">
        <v>469</v>
      </c>
      <c r="C11" s="1212" t="str">
        <f>"Calculate Return and Income Taxes with "&amp;F17&amp;" basis point ROE increase for Projects Qualified for Regional Billing."</f>
        <v>Calculate Return and Income Taxes with 0 basis point ROE increase for Projects Qualified for Regional Billing.</v>
      </c>
      <c r="D11" s="1213"/>
      <c r="E11" s="1213"/>
      <c r="F11" s="1213"/>
      <c r="G11" s="1213"/>
      <c r="H11" s="1213"/>
    </row>
    <row r="12" spans="1:16" ht="18.75" customHeight="1">
      <c r="C12" s="1213"/>
      <c r="D12" s="1213"/>
      <c r="E12" s="1213"/>
      <c r="F12" s="1213"/>
      <c r="G12" s="1213"/>
      <c r="H12" s="1213"/>
    </row>
    <row r="13" spans="1:16" ht="15.75" customHeight="1">
      <c r="C13" s="450"/>
      <c r="D13" s="450"/>
      <c r="E13" s="450"/>
      <c r="F13" s="450"/>
      <c r="G13" s="450"/>
      <c r="H13" s="450"/>
    </row>
    <row r="14" spans="1:16" ht="15.75">
      <c r="C14" s="451" t="str">
        <f>"A.   Determine 'R' with hypothetical "&amp;F17&amp;" basis point increase in ROE for Identified Projects"</f>
        <v>A.   Determine 'R' with hypothetical 0 basis point increase in ROE for Identified Projects</v>
      </c>
    </row>
    <row r="16" spans="1:16">
      <c r="C16" s="452" t="str">
        <f>"   ROE w/o incentives  (TCOS, ln "&amp;TCOS!B251&amp;")"</f>
        <v xml:space="preserve">   ROE w/o incentives  (TCOS, ln 138)</v>
      </c>
      <c r="E16" s="453"/>
      <c r="F16" s="454">
        <f>TCOS!J251</f>
        <v>0.10349999999999999</v>
      </c>
      <c r="G16" s="453"/>
      <c r="H16" s="455"/>
      <c r="I16" s="455"/>
      <c r="J16" s="455"/>
      <c r="K16" s="455"/>
      <c r="L16" s="455"/>
      <c r="M16" s="455"/>
      <c r="N16" s="455"/>
      <c r="O16" s="455"/>
      <c r="P16" s="455"/>
    </row>
    <row r="17" spans="3:16">
      <c r="C17" s="452" t="s">
        <v>50</v>
      </c>
      <c r="E17" s="453"/>
      <c r="F17" s="565">
        <v>0</v>
      </c>
      <c r="G17" s="453"/>
      <c r="H17" s="455"/>
      <c r="I17" s="455"/>
      <c r="J17" s="455"/>
    </row>
    <row r="18" spans="3:16">
      <c r="C18" s="452" t="str">
        <f>"   ROE with additional "&amp;F17&amp;" basis point incentive"</f>
        <v xml:space="preserve">   ROE with additional 0 basis point incentive</v>
      </c>
      <c r="D18" s="453"/>
      <c r="E18" s="453"/>
      <c r="F18" s="456">
        <f>IF((F16+(F17/10000)&gt;0.1274),"ERROR",F16+(F17/10000))</f>
        <v>0.10349999999999999</v>
      </c>
      <c r="G18" s="457"/>
      <c r="H18" s="455"/>
      <c r="I18" s="455"/>
      <c r="J18" s="455"/>
    </row>
    <row r="19" spans="3:16">
      <c r="C19" s="452" t="str">
        <f>"   Determine R  ( cost of long term debt, cost of preferred stock and equity percentage is from the TCOS, lns "&amp;TCOS!B249&amp;" through "&amp;TCOS!B251&amp;")"</f>
        <v xml:space="preserve">   Determine R  ( cost of long term debt, cost of preferred stock and equity percentage is from the TCOS, lns 136 through 138)</v>
      </c>
      <c r="E19" s="453"/>
      <c r="F19" s="458"/>
      <c r="G19" s="453"/>
      <c r="H19" s="455"/>
      <c r="I19" s="455"/>
      <c r="J19" s="455"/>
    </row>
    <row r="20" spans="3:16">
      <c r="C20" s="455"/>
      <c r="D20" s="459" t="s">
        <v>444</v>
      </c>
      <c r="E20" s="459" t="s">
        <v>443</v>
      </c>
      <c r="F20" s="460" t="s">
        <v>51</v>
      </c>
      <c r="G20" s="453"/>
      <c r="H20" s="455"/>
      <c r="I20" s="455"/>
      <c r="J20" s="455"/>
    </row>
    <row r="21" spans="3:16" ht="13.5" thickBot="1">
      <c r="C21" s="461" t="s">
        <v>56</v>
      </c>
      <c r="D21" s="462">
        <f>TCOS!H249</f>
        <v>0.44659798796979427</v>
      </c>
      <c r="E21" s="462">
        <f>TCOS!J249</f>
        <v>4.1148075266080018E-2</v>
      </c>
      <c r="F21" s="463">
        <f>E21*D21</f>
        <v>1.8376647622660995E-2</v>
      </c>
      <c r="G21" s="453"/>
      <c r="H21" s="455"/>
      <c r="I21" s="464"/>
      <c r="J21" s="464"/>
      <c r="K21" s="98"/>
      <c r="L21" s="98"/>
      <c r="M21" s="98"/>
      <c r="N21" s="98"/>
      <c r="O21" s="98"/>
    </row>
    <row r="22" spans="3:16">
      <c r="C22" s="461" t="s">
        <v>57</v>
      </c>
      <c r="D22" s="462">
        <f>TCOS!H250</f>
        <v>0</v>
      </c>
      <c r="E22" s="462">
        <f>TCOS!J250</f>
        <v>0</v>
      </c>
      <c r="F22" s="463">
        <f>E22*D22</f>
        <v>0</v>
      </c>
      <c r="G22" s="465"/>
      <c r="H22" s="465"/>
      <c r="I22" s="466"/>
      <c r="J22" s="466"/>
      <c r="K22" s="1215" t="s">
        <v>239</v>
      </c>
      <c r="L22" s="1216"/>
      <c r="M22" s="1216"/>
      <c r="N22" s="1216"/>
      <c r="O22" s="1217"/>
      <c r="P22" s="466"/>
    </row>
    <row r="23" spans="3:16">
      <c r="C23" s="461" t="s">
        <v>29</v>
      </c>
      <c r="D23" s="462">
        <f>TCOS!H251</f>
        <v>0.55340201203020578</v>
      </c>
      <c r="E23" s="462">
        <f>+F18</f>
        <v>0.10349999999999999</v>
      </c>
      <c r="F23" s="467">
        <f>E23*D23</f>
        <v>5.7277108245126294E-2</v>
      </c>
      <c r="G23" s="465"/>
      <c r="H23" s="465"/>
      <c r="I23" s="466"/>
      <c r="J23" s="466"/>
      <c r="K23" s="1218"/>
      <c r="L23" s="1219"/>
      <c r="M23" s="1219"/>
      <c r="N23" s="1219"/>
      <c r="O23" s="1220"/>
      <c r="P23" s="466"/>
    </row>
    <row r="24" spans="3:16">
      <c r="C24" s="452"/>
      <c r="D24"/>
      <c r="E24" s="468" t="s">
        <v>58</v>
      </c>
      <c r="F24" s="463">
        <f>SUM(F21:F23)</f>
        <v>7.565375586778729E-2</v>
      </c>
      <c r="G24" s="465"/>
      <c r="H24" s="465"/>
      <c r="I24" s="466"/>
      <c r="J24" s="466"/>
      <c r="K24" s="469"/>
      <c r="L24" s="470"/>
      <c r="M24" s="471" t="s">
        <v>52</v>
      </c>
      <c r="N24" s="471" t="s">
        <v>53</v>
      </c>
      <c r="O24" s="472" t="s">
        <v>55</v>
      </c>
      <c r="P24" s="466"/>
    </row>
    <row r="25" spans="3:16">
      <c r="C25" s="3"/>
      <c r="D25" s="473"/>
      <c r="E25" s="473"/>
      <c r="F25" s="465"/>
      <c r="G25" s="465"/>
      <c r="H25" s="465"/>
      <c r="I25" s="465"/>
      <c r="J25" s="465"/>
      <c r="K25" s="474"/>
      <c r="L25" s="98"/>
      <c r="M25" s="98"/>
      <c r="N25" s="98"/>
      <c r="O25" s="475"/>
      <c r="P25" s="465"/>
    </row>
    <row r="26" spans="3:16" ht="16.5" thickBot="1">
      <c r="C26" s="451" t="str">
        <f>"B.   Determine Return using 'R' with hypothetical "&amp;F17&amp;" basis point ROE increase for Identified Projects."</f>
        <v>B.   Determine Return using 'R' with hypothetical 0 basis point ROE increase for Identified Projects.</v>
      </c>
      <c r="D26" s="473"/>
      <c r="E26" s="473"/>
      <c r="F26" s="465"/>
      <c r="G26" s="465"/>
      <c r="H26" s="453"/>
      <c r="I26" s="465"/>
      <c r="J26" s="465"/>
      <c r="K26" s="476" t="s">
        <v>59</v>
      </c>
      <c r="L26" s="477">
        <f>+TCOS!L4</f>
        <v>2025</v>
      </c>
      <c r="M26" s="694">
        <f>N88+N178+N267+N356+N446+N535+N624+N713+N802+N893</f>
        <v>43600517.481035285</v>
      </c>
      <c r="N26" s="694">
        <f>N89+N179+N268+N357+N447+N536+N625+N714+N803+N894</f>
        <v>43600517.481035285</v>
      </c>
      <c r="O26" s="478">
        <f>+N26-M26</f>
        <v>0</v>
      </c>
      <c r="P26" s="465"/>
    </row>
    <row r="27" spans="3:16">
      <c r="C27" s="455"/>
      <c r="D27" s="473"/>
      <c r="E27" s="473"/>
      <c r="F27" s="465"/>
      <c r="G27" s="465"/>
      <c r="H27" s="465"/>
      <c r="I27" s="465"/>
      <c r="J27" s="465"/>
      <c r="K27" s="479"/>
      <c r="L27" s="479"/>
      <c r="M27" s="480"/>
      <c r="N27" s="479"/>
      <c r="O27" s="479"/>
      <c r="P27" s="465"/>
    </row>
    <row r="28" spans="3:16">
      <c r="C28" s="452" t="str">
        <f>"   Rate Base  (TCOS, ln "&amp;TCOS!B118&amp;")"</f>
        <v xml:space="preserve">   Rate Base  (TCOS, ln 58)</v>
      </c>
      <c r="D28" s="453"/>
      <c r="F28" s="481">
        <f>TCOS!L118</f>
        <v>3257350051.8949709</v>
      </c>
      <c r="G28" s="465"/>
      <c r="H28" s="465"/>
      <c r="I28" s="465"/>
      <c r="J28" s="465"/>
      <c r="K28" s="479"/>
      <c r="L28" s="479"/>
      <c r="M28" s="479"/>
      <c r="N28" s="479"/>
      <c r="O28" s="482"/>
      <c r="P28" s="465"/>
    </row>
    <row r="29" spans="3:16">
      <c r="C29" s="455" t="s">
        <v>284</v>
      </c>
      <c r="D29" s="483"/>
      <c r="F29" s="463">
        <f>F24</f>
        <v>7.565375586778729E-2</v>
      </c>
      <c r="G29" s="465"/>
      <c r="H29" s="465"/>
      <c r="I29" s="465"/>
      <c r="J29" s="465"/>
      <c r="K29" s="465"/>
      <c r="L29" s="465"/>
      <c r="M29" s="465"/>
      <c r="N29" s="465"/>
      <c r="O29" s="465"/>
      <c r="P29" s="465"/>
    </row>
    <row r="30" spans="3:16">
      <c r="C30" s="484" t="s">
        <v>61</v>
      </c>
      <c r="D30" s="484"/>
      <c r="F30" s="466">
        <f>F28*F29</f>
        <v>246430765.60198638</v>
      </c>
      <c r="G30" s="465"/>
      <c r="H30" s="465"/>
      <c r="I30" s="466"/>
      <c r="J30" s="466"/>
      <c r="K30" s="466"/>
      <c r="L30" s="466"/>
      <c r="M30" s="466"/>
      <c r="N30" s="466"/>
      <c r="O30" s="465"/>
      <c r="P30" s="466"/>
    </row>
    <row r="31" spans="3:16">
      <c r="C31" s="484"/>
      <c r="D31" s="455"/>
      <c r="E31" s="455"/>
      <c r="F31" s="465"/>
      <c r="G31" s="465"/>
      <c r="H31" s="465"/>
      <c r="I31" s="466"/>
      <c r="J31" s="466"/>
      <c r="K31" s="466"/>
      <c r="L31" s="466"/>
      <c r="M31" s="466"/>
      <c r="N31" s="466"/>
      <c r="O31" s="465"/>
      <c r="P31" s="466"/>
    </row>
    <row r="32" spans="3:16" ht="15.75">
      <c r="C32" s="451" t="str">
        <f>"C.   Determine Income Taxes using Return with hypothetical "&amp;F17&amp;" basis point ROE increase for Identified Projects."</f>
        <v>C.   Determine Income Taxes using Return with hypothetical 0 basis point ROE increase for Identified Projects.</v>
      </c>
      <c r="D32" s="485"/>
      <c r="E32" s="485"/>
      <c r="F32" s="486"/>
      <c r="G32" s="486"/>
      <c r="H32" s="486"/>
      <c r="I32" s="487"/>
      <c r="J32" s="487"/>
      <c r="K32" s="487"/>
      <c r="L32" s="487"/>
      <c r="M32" s="487"/>
      <c r="N32" s="487"/>
      <c r="O32" s="486"/>
      <c r="P32" s="487"/>
    </row>
    <row r="33" spans="2:16">
      <c r="C33" s="452"/>
      <c r="D33" s="455"/>
      <c r="E33" s="455"/>
      <c r="F33" s="465"/>
      <c r="G33" s="465"/>
      <c r="H33" s="465"/>
      <c r="I33" s="466"/>
      <c r="J33" s="466"/>
      <c r="K33" s="466"/>
      <c r="L33" s="466"/>
      <c r="M33" s="466"/>
      <c r="N33" s="466"/>
      <c r="O33" s="465"/>
      <c r="P33" s="466"/>
    </row>
    <row r="34" spans="2:16">
      <c r="C34" s="455" t="s">
        <v>62</v>
      </c>
      <c r="D34" s="468"/>
      <c r="F34" s="488">
        <f>F30</f>
        <v>246430765.60198638</v>
      </c>
      <c r="G34" s="465"/>
      <c r="H34" s="465"/>
      <c r="I34" s="465"/>
      <c r="J34" s="465"/>
      <c r="K34" s="465"/>
      <c r="L34" s="465"/>
      <c r="M34" s="465"/>
      <c r="N34" s="465"/>
      <c r="O34" s="465"/>
      <c r="P34" s="465"/>
    </row>
    <row r="35" spans="2:16">
      <c r="C35" s="452" t="str">
        <f>"   Effective Tax Rate  (TCOS, ln "&amp;TCOS!B178&amp;")"</f>
        <v xml:space="preserve">   Effective Tax Rate  (TCOS, ln 97)</v>
      </c>
      <c r="D35" s="47"/>
      <c r="F35" s="489">
        <f>TCOS!G178</f>
        <v>0.25065186326440542</v>
      </c>
      <c r="G35" s="3"/>
      <c r="H35" s="490"/>
      <c r="I35" s="3"/>
      <c r="J35" s="3"/>
      <c r="K35" s="3"/>
      <c r="L35" s="3"/>
      <c r="M35" s="3"/>
      <c r="N35" s="3"/>
      <c r="O35" s="3"/>
      <c r="P35" s="3"/>
    </row>
    <row r="36" spans="2:16">
      <c r="C36" s="484" t="s">
        <v>63</v>
      </c>
      <c r="D36" s="47"/>
      <c r="F36" s="491">
        <f>F34*F35</f>
        <v>61768330.563811831</v>
      </c>
      <c r="G36" s="3"/>
      <c r="H36" s="490"/>
      <c r="I36" s="3"/>
      <c r="J36" s="3"/>
      <c r="K36" s="3"/>
      <c r="L36" s="3"/>
      <c r="M36" s="3"/>
      <c r="N36" s="3"/>
      <c r="O36" s="3"/>
      <c r="P36" s="3"/>
    </row>
    <row r="37" spans="2:16" ht="15">
      <c r="C37" s="452" t="s">
        <v>105</v>
      </c>
      <c r="D37" s="135"/>
      <c r="F37" s="465">
        <f>TCOS!L186</f>
        <v>0</v>
      </c>
      <c r="G37" s="135"/>
      <c r="H37" s="135"/>
      <c r="I37" s="135"/>
      <c r="J37" s="135"/>
      <c r="K37" s="135"/>
      <c r="L37" s="135"/>
      <c r="M37" s="135"/>
      <c r="N37" s="135"/>
      <c r="O37" s="149"/>
      <c r="P37" s="135"/>
    </row>
    <row r="38" spans="2:16" ht="15">
      <c r="C38" s="452" t="s">
        <v>558</v>
      </c>
      <c r="D38" s="135"/>
      <c r="F38" s="465">
        <f>TCOS!L187</f>
        <v>1553407.8969699086</v>
      </c>
      <c r="G38" s="135"/>
      <c r="H38" s="135"/>
      <c r="I38" s="135"/>
      <c r="J38" s="135"/>
      <c r="K38" s="135"/>
      <c r="L38" s="135"/>
      <c r="M38" s="135"/>
      <c r="N38" s="135"/>
      <c r="O38" s="149"/>
      <c r="P38" s="135"/>
    </row>
    <row r="39" spans="2:16" ht="15.75" thickBot="1">
      <c r="C39" s="452" t="s">
        <v>560</v>
      </c>
      <c r="D39" s="135"/>
      <c r="F39" s="492">
        <f>TCOS!L188</f>
        <v>1266074.2814449801</v>
      </c>
      <c r="G39" s="135"/>
      <c r="H39" s="135"/>
      <c r="I39" s="135"/>
      <c r="J39" s="135"/>
      <c r="K39" s="135"/>
      <c r="L39" s="135"/>
      <c r="M39" s="135"/>
      <c r="N39" s="135"/>
      <c r="O39" s="149"/>
      <c r="P39" s="135"/>
    </row>
    <row r="40" spans="2:16" ht="15">
      <c r="C40" s="484" t="s">
        <v>64</v>
      </c>
      <c r="D40" s="135"/>
      <c r="F40" s="465">
        <f>F36+F37+F38+F39</f>
        <v>64587812.74222672</v>
      </c>
      <c r="G40" s="244"/>
      <c r="H40" s="135"/>
      <c r="I40" s="135"/>
      <c r="J40" s="135"/>
      <c r="K40" s="135"/>
      <c r="L40" s="135"/>
      <c r="M40" s="135"/>
      <c r="N40" s="135"/>
      <c r="O40" s="148"/>
      <c r="P40" s="135"/>
    </row>
    <row r="41" spans="2:16" ht="12.75" customHeight="1">
      <c r="C41" s="132"/>
      <c r="D41" s="135"/>
      <c r="E41" s="135"/>
      <c r="F41" s="135"/>
      <c r="G41" s="135"/>
      <c r="H41" s="135"/>
      <c r="I41" s="135"/>
      <c r="J41" s="135"/>
      <c r="K41" s="135"/>
      <c r="L41" s="135"/>
      <c r="M41" s="135"/>
      <c r="N41" s="135"/>
      <c r="O41" s="148"/>
      <c r="P41" s="135"/>
    </row>
    <row r="42" spans="2:16" ht="18.75">
      <c r="B42" s="449" t="s">
        <v>470</v>
      </c>
      <c r="C42" s="6" t="str">
        <f>"Calculate Net Plant Carrying Charge Rate (Fixed Charge Rate or FCR) with hypothetical "&amp;F17&amp;""</f>
        <v>Calculate Net Plant Carrying Charge Rate (Fixed Charge Rate or FCR) with hypothetical 0</v>
      </c>
      <c r="D42" s="135"/>
      <c r="E42" s="135"/>
      <c r="F42" s="135"/>
      <c r="G42" s="135"/>
      <c r="H42" s="135"/>
      <c r="I42" s="135"/>
      <c r="J42" s="135"/>
      <c r="K42" s="135"/>
      <c r="L42" s="135"/>
      <c r="M42" s="135"/>
      <c r="N42" s="135"/>
      <c r="O42" s="148"/>
      <c r="P42" s="135"/>
    </row>
    <row r="43" spans="2:16" ht="18.75" customHeight="1">
      <c r="C43" s="6" t="str">
        <f>"basis point ROE increase."</f>
        <v>basis point ROE increase.</v>
      </c>
      <c r="D43" s="135"/>
      <c r="E43" s="135"/>
      <c r="F43" s="135"/>
      <c r="G43" s="135"/>
      <c r="H43" s="135"/>
      <c r="I43" s="135"/>
      <c r="J43" s="135"/>
      <c r="K43" s="135"/>
      <c r="L43" s="135"/>
      <c r="M43" s="135"/>
      <c r="N43" s="135"/>
      <c r="O43" s="148"/>
      <c r="P43" s="135"/>
    </row>
    <row r="44" spans="2:16" ht="12.75" customHeight="1">
      <c r="C44" s="6"/>
      <c r="D44" s="135"/>
      <c r="E44" s="135"/>
      <c r="F44" s="135"/>
      <c r="G44" s="135"/>
      <c r="H44" s="135"/>
      <c r="I44" s="135"/>
      <c r="J44" s="135"/>
      <c r="K44" s="135"/>
      <c r="L44" s="135"/>
      <c r="M44" s="135"/>
      <c r="N44" s="135"/>
      <c r="O44" s="148"/>
      <c r="P44" s="135"/>
    </row>
    <row r="45" spans="2:16" ht="15.75">
      <c r="C45" s="451" t="s">
        <v>261</v>
      </c>
      <c r="D45" s="135"/>
      <c r="E45" s="135"/>
      <c r="F45" s="132"/>
      <c r="G45" s="135"/>
      <c r="H45" s="135"/>
      <c r="I45" s="135"/>
      <c r="J45" s="135"/>
      <c r="K45" s="135"/>
      <c r="L45" s="135"/>
      <c r="M45" s="135"/>
      <c r="N45" s="135"/>
      <c r="O45" s="148"/>
      <c r="P45" s="135"/>
    </row>
    <row r="46" spans="2:16">
      <c r="B46" s="3"/>
      <c r="C46" s="452"/>
      <c r="D46" s="453"/>
      <c r="E46" s="453"/>
      <c r="F46" s="453"/>
      <c r="G46" s="453"/>
      <c r="H46" s="453"/>
      <c r="I46" s="453"/>
      <c r="J46" s="453"/>
      <c r="K46" s="453"/>
      <c r="L46" s="453"/>
      <c r="M46" s="453"/>
      <c r="N46" s="453"/>
      <c r="O46" s="465"/>
      <c r="P46" s="453"/>
    </row>
    <row r="47" spans="2:16" ht="12.75" customHeight="1">
      <c r="B47" s="3"/>
      <c r="C47" s="452" t="str">
        <f>"   Annual Revenue Requirement  (TCOS, ln "&amp;TCOS!B13&amp;")"</f>
        <v xml:space="preserve">   Annual Revenue Requirement  (TCOS, ln 1)</v>
      </c>
      <c r="D47" s="453"/>
      <c r="E47" s="453"/>
      <c r="G47" s="465">
        <f>TCOS!L13</f>
        <v>507686124.03842551</v>
      </c>
      <c r="H47" s="696"/>
      <c r="I47" s="453"/>
      <c r="J47" s="453"/>
      <c r="K47" s="453"/>
      <c r="L47" s="453"/>
      <c r="M47" s="453"/>
      <c r="N47" s="453"/>
      <c r="O47" s="465"/>
      <c r="P47" s="453"/>
    </row>
    <row r="48" spans="2:16" ht="12.75" customHeight="1">
      <c r="B48" s="3"/>
      <c r="C48" s="452" t="str">
        <f>"   Lease Payments (TCOS, Ln "&amp;TCOS!B157&amp;")"</f>
        <v xml:space="preserve">   Lease Payments (TCOS, Ln 80)</v>
      </c>
      <c r="D48" s="453"/>
      <c r="E48" s="453"/>
      <c r="G48" s="465">
        <f>+TCOS!L157</f>
        <v>0</v>
      </c>
      <c r="H48" s="696"/>
      <c r="I48" s="453"/>
      <c r="J48" s="453"/>
      <c r="K48" s="453"/>
      <c r="L48" s="453"/>
      <c r="M48" s="453"/>
      <c r="N48" s="453"/>
      <c r="O48" s="465"/>
      <c r="P48" s="453"/>
    </row>
    <row r="49" spans="2:16">
      <c r="B49" s="3"/>
      <c r="C49" s="452" t="str">
        <f>"   Return  (TCOS, ln "&amp;TCOS!B191&amp;")"</f>
        <v xml:space="preserve">   Return  (TCOS, ln 109)</v>
      </c>
      <c r="D49" s="453"/>
      <c r="E49" s="453"/>
      <c r="G49" s="466">
        <f>TCOS!L191</f>
        <v>245739810.000626</v>
      </c>
      <c r="H49" s="697"/>
      <c r="I49" s="453"/>
      <c r="J49" s="452"/>
      <c r="K49" s="452"/>
      <c r="L49" s="452"/>
      <c r="M49" s="452"/>
      <c r="N49" s="452"/>
      <c r="O49" s="465"/>
      <c r="P49" s="452"/>
    </row>
    <row r="50" spans="2:16">
      <c r="B50" s="3"/>
      <c r="C50" s="452" t="str">
        <f>"   Income Taxes  (TCOS, ln "&amp;TCOS!B189&amp;")"</f>
        <v xml:space="preserve">   Income Taxes  (TCOS, ln 108)</v>
      </c>
      <c r="D50" s="453"/>
      <c r="E50" s="453"/>
      <c r="G50" s="494">
        <f>F40</f>
        <v>64587812.74222672</v>
      </c>
      <c r="H50" s="696"/>
      <c r="I50" s="453"/>
      <c r="J50" s="495"/>
      <c r="K50" s="495"/>
      <c r="L50" s="495"/>
      <c r="M50" s="495"/>
      <c r="N50" s="495"/>
      <c r="O50" s="453"/>
      <c r="P50" s="495"/>
    </row>
    <row r="51" spans="2:16">
      <c r="B51" s="3"/>
      <c r="C51" s="3" t="s">
        <v>615</v>
      </c>
      <c r="D51" s="453"/>
      <c r="E51" s="453"/>
      <c r="G51" s="466">
        <f>G47-G49-G50-G48</f>
        <v>197358501.29557279</v>
      </c>
      <c r="H51" s="466"/>
      <c r="I51" s="453"/>
      <c r="J51" s="496"/>
      <c r="K51" s="496"/>
      <c r="L51" s="496"/>
      <c r="M51" s="496"/>
      <c r="N51" s="496"/>
      <c r="O51" s="496"/>
      <c r="P51" s="496"/>
    </row>
    <row r="52" spans="2:16">
      <c r="B52" s="3"/>
      <c r="C52" s="452"/>
      <c r="D52" s="453"/>
      <c r="E52" s="453"/>
      <c r="F52" s="465"/>
      <c r="G52" s="497"/>
      <c r="H52" s="498"/>
      <c r="I52" s="453"/>
      <c r="J52" s="498"/>
      <c r="K52" s="498"/>
      <c r="L52" s="498"/>
      <c r="M52" s="498"/>
      <c r="N52" s="498"/>
      <c r="O52" s="498"/>
      <c r="P52" s="498"/>
    </row>
    <row r="53" spans="2:16" ht="15.75">
      <c r="B53" s="3"/>
      <c r="C53" s="451" t="str">
        <f>"B.   Determine Annual Revenue Requirement with hypothetical "&amp;F17&amp;" basis point increase in ROE."</f>
        <v>B.   Determine Annual Revenue Requirement with hypothetical 0 basis point increase in ROE.</v>
      </c>
      <c r="D53" s="455"/>
      <c r="E53" s="455"/>
      <c r="F53" s="465"/>
      <c r="G53" s="497"/>
      <c r="H53" s="498"/>
      <c r="I53" s="498"/>
      <c r="J53" s="498"/>
      <c r="K53" s="498"/>
      <c r="L53" s="498"/>
      <c r="M53" s="498"/>
      <c r="N53" s="498"/>
      <c r="O53" s="498"/>
      <c r="P53" s="498"/>
    </row>
    <row r="54" spans="2:16">
      <c r="B54" s="3"/>
      <c r="C54" s="452"/>
      <c r="D54" s="455"/>
      <c r="E54" s="455"/>
      <c r="F54" s="465"/>
      <c r="G54" s="497"/>
      <c r="H54" s="498"/>
      <c r="I54" s="498"/>
      <c r="J54" s="498"/>
      <c r="K54" s="498"/>
      <c r="L54" s="498"/>
      <c r="M54" s="498"/>
      <c r="N54" s="498"/>
      <c r="O54" s="498"/>
      <c r="P54" s="498"/>
    </row>
    <row r="55" spans="2:16">
      <c r="B55" s="3"/>
      <c r="C55" s="452" t="str">
        <f>C51</f>
        <v xml:space="preserve">   Annual Revenue Requirement, Less Return and Taxes</v>
      </c>
      <c r="D55" s="455"/>
      <c r="E55" s="455"/>
      <c r="G55" s="465">
        <f>G51</f>
        <v>197358501.29557279</v>
      </c>
      <c r="H55" s="465"/>
      <c r="I55" s="453"/>
      <c r="J55" s="453"/>
      <c r="K55" s="453"/>
      <c r="L55" s="453"/>
      <c r="M55" s="453"/>
      <c r="N55" s="453"/>
      <c r="O55" s="499"/>
      <c r="P55" s="453"/>
    </row>
    <row r="56" spans="2:16">
      <c r="B56" s="3"/>
      <c r="C56" s="455" t="s">
        <v>102</v>
      </c>
      <c r="D56" s="47"/>
      <c r="E56" s="3"/>
      <c r="G56" s="491">
        <f>F30</f>
        <v>246430765.60198638</v>
      </c>
      <c r="H56" s="698"/>
      <c r="I56" s="453"/>
      <c r="J56" s="3"/>
      <c r="K56" s="3"/>
      <c r="L56" s="3"/>
      <c r="M56" s="3"/>
      <c r="N56" s="3"/>
      <c r="O56" s="3"/>
      <c r="P56" s="3"/>
    </row>
    <row r="57" spans="2:16" ht="12.75" customHeight="1">
      <c r="B57" s="3"/>
      <c r="C57" s="452" t="s">
        <v>70</v>
      </c>
      <c r="D57" s="453"/>
      <c r="E57" s="453"/>
      <c r="G57" s="494">
        <f>F40</f>
        <v>64587812.74222672</v>
      </c>
      <c r="H57" s="696"/>
      <c r="I57" s="453"/>
      <c r="J57" s="3"/>
      <c r="K57" s="3"/>
      <c r="L57" s="3"/>
      <c r="M57" s="3"/>
      <c r="N57" s="3"/>
      <c r="O57" s="3"/>
      <c r="P57" s="3"/>
    </row>
    <row r="58" spans="2:16">
      <c r="B58" s="3"/>
      <c r="C58" s="3" t="str">
        <f>"   Annual Revenue Requirement, with "&amp;F17&amp;" Basis Point ROE increase"</f>
        <v xml:space="preserve">   Annual Revenue Requirement, with 0 Basis Point ROE increase</v>
      </c>
      <c r="D58" s="47"/>
      <c r="E58" s="3"/>
      <c r="G58" s="491">
        <f>SUM(G55:G57)</f>
        <v>508377079.63978589</v>
      </c>
      <c r="H58" s="698"/>
      <c r="I58" s="453"/>
      <c r="J58" s="3"/>
      <c r="K58" s="3"/>
      <c r="L58" s="3"/>
      <c r="M58" s="3"/>
      <c r="N58" s="3"/>
      <c r="O58" s="3"/>
      <c r="P58" s="3"/>
    </row>
    <row r="59" spans="2:16">
      <c r="B59" s="3"/>
      <c r="C59" s="452" t="str">
        <f>"   Depreciation &amp; Amortization (TCOS, ln "&amp;TCOS!B161&amp;")"</f>
        <v xml:space="preserve">   Depreciation &amp; Amortization (TCOS, ln 83)</v>
      </c>
      <c r="D59" s="47"/>
      <c r="E59" s="3"/>
      <c r="G59" s="500">
        <f>TCOS!L161</f>
        <v>114406290.97774149</v>
      </c>
      <c r="H59" s="698"/>
      <c r="I59" s="453"/>
      <c r="J59" s="3"/>
      <c r="K59" s="3"/>
      <c r="L59" s="3"/>
      <c r="M59" s="3"/>
      <c r="N59" s="3"/>
      <c r="O59" s="3"/>
      <c r="P59" s="3"/>
    </row>
    <row r="60" spans="2:16">
      <c r="B60" s="3"/>
      <c r="C60" s="3" t="str">
        <f>"   Annual Rev. Req, w/"&amp;F17&amp;" Basis Point ROE increase, less Depreciation"</f>
        <v xml:space="preserve">   Annual Rev. Req, w/0 Basis Point ROE increase, less Depreciation</v>
      </c>
      <c r="D60" s="47"/>
      <c r="E60" s="3"/>
      <c r="G60" s="491">
        <f>G58-G59</f>
        <v>393970788.66204441</v>
      </c>
      <c r="H60" s="698"/>
      <c r="I60" s="453"/>
      <c r="J60" s="3"/>
      <c r="K60" s="3"/>
      <c r="L60" s="3"/>
      <c r="M60" s="3"/>
      <c r="N60" s="3"/>
      <c r="O60" s="3"/>
      <c r="P60" s="3"/>
    </row>
    <row r="61" spans="2:16">
      <c r="B61" s="3"/>
      <c r="C61" s="3"/>
      <c r="D61" s="47"/>
      <c r="E61" s="3"/>
      <c r="F61" s="3"/>
      <c r="G61" s="3"/>
      <c r="H61" s="699"/>
      <c r="I61" s="453"/>
      <c r="J61" s="3"/>
      <c r="K61" s="3"/>
      <c r="L61" s="3"/>
      <c r="M61" s="3"/>
      <c r="N61" s="3"/>
      <c r="O61" s="3"/>
      <c r="P61" s="3"/>
    </row>
    <row r="62" spans="2:16" ht="15.75">
      <c r="B62" s="3"/>
      <c r="C62" s="451" t="str">
        <f>"C.   Determine FCR with hypothetical "&amp;F17&amp;" basis point ROE increase."</f>
        <v>C.   Determine FCR with hypothetical 0 basis point ROE increase.</v>
      </c>
      <c r="D62" s="47"/>
      <c r="E62" s="3"/>
      <c r="F62" s="3"/>
      <c r="G62" s="3"/>
      <c r="H62" s="699"/>
      <c r="I62" s="453"/>
      <c r="J62" s="3"/>
      <c r="K62" s="3"/>
      <c r="L62" s="3"/>
      <c r="M62" s="3"/>
      <c r="N62" s="3"/>
      <c r="O62" s="3"/>
      <c r="P62" s="3"/>
    </row>
    <row r="63" spans="2:16">
      <c r="B63" s="3"/>
      <c r="C63" s="3"/>
      <c r="D63" s="47"/>
      <c r="E63" s="3"/>
      <c r="F63" s="3"/>
      <c r="G63" s="3"/>
      <c r="H63" s="699"/>
      <c r="I63" s="453"/>
      <c r="J63" s="3"/>
      <c r="K63" s="3"/>
      <c r="L63" s="3"/>
      <c r="M63" s="3"/>
      <c r="N63" s="3"/>
      <c r="O63" s="3"/>
      <c r="P63" s="3"/>
    </row>
    <row r="64" spans="2:16">
      <c r="B64" s="3"/>
      <c r="C64" s="452" t="str">
        <f>"   Net Transmission Plant  (Projected TCOS, ln "&amp;TCOS!B83&amp;")"</f>
        <v xml:space="preserve">   Net Transmission Plant  (Projected TCOS, ln 33)</v>
      </c>
      <c r="D64" s="47"/>
      <c r="E64" s="3"/>
      <c r="G64" s="491">
        <f>TCOS!L83</f>
        <v>3564687310.8915391</v>
      </c>
      <c r="H64" s="698"/>
      <c r="I64" s="453"/>
      <c r="J64" s="3"/>
      <c r="K64" s="3"/>
      <c r="L64" s="3"/>
      <c r="M64" s="3"/>
      <c r="N64" s="3"/>
      <c r="O64" s="3"/>
      <c r="P64" s="3"/>
    </row>
    <row r="65" spans="2:17">
      <c r="B65" s="3"/>
      <c r="C65" s="3" t="str">
        <f>"   Annual Revenue Requirement, with "&amp;F17&amp;" Basis Point ROE increase"</f>
        <v xml:space="preserve">   Annual Revenue Requirement, with 0 Basis Point ROE increase</v>
      </c>
      <c r="D65" s="47"/>
      <c r="E65" s="3"/>
      <c r="G65" s="491">
        <f>G58</f>
        <v>508377079.63978589</v>
      </c>
      <c r="H65" s="698"/>
      <c r="I65" s="453"/>
      <c r="J65" s="3"/>
      <c r="K65" s="3"/>
      <c r="L65" s="3"/>
      <c r="M65" s="3"/>
      <c r="N65" s="3"/>
      <c r="O65" s="3"/>
      <c r="P65" s="3"/>
    </row>
    <row r="66" spans="2:17">
      <c r="B66" s="3"/>
      <c r="C66" s="3" t="str">
        <f>"   FCR with "&amp;F17&amp;" Basis Point increase in ROE"</f>
        <v xml:space="preserve">   FCR with 0 Basis Point increase in ROE</v>
      </c>
      <c r="D66" s="47"/>
      <c r="E66" s="3"/>
      <c r="G66" s="489">
        <f>IF(G64=0,0,G65/G64)</f>
        <v>0.14261477523890848</v>
      </c>
      <c r="H66" s="700"/>
      <c r="I66" s="453"/>
      <c r="J66" s="3"/>
      <c r="K66" s="3"/>
      <c r="L66" s="3"/>
      <c r="M66" s="3"/>
      <c r="N66" s="3"/>
      <c r="O66" s="3"/>
      <c r="P66" s="3"/>
    </row>
    <row r="67" spans="2:17">
      <c r="B67" s="3"/>
      <c r="C67" s="41"/>
      <c r="D67" s="47"/>
      <c r="E67" s="3"/>
      <c r="G67" s="3"/>
      <c r="H67" s="292"/>
      <c r="I67" s="453"/>
      <c r="J67" s="3"/>
      <c r="K67" s="3"/>
      <c r="L67" s="3"/>
      <c r="M67" s="3"/>
      <c r="N67" s="3"/>
      <c r="O67" s="3"/>
      <c r="P67" s="3"/>
    </row>
    <row r="68" spans="2:17">
      <c r="B68" s="3"/>
      <c r="C68" s="3" t="str">
        <f>"   Annual Rev. Req, w / "&amp;F17&amp;" Basis Point ROE increase, less Dep."</f>
        <v xml:space="preserve">   Annual Rev. Req, w / 0 Basis Point ROE increase, less Dep.</v>
      </c>
      <c r="D68" s="47"/>
      <c r="E68" s="3"/>
      <c r="G68" s="491">
        <f>G60</f>
        <v>393970788.66204441</v>
      </c>
      <c r="H68" s="698"/>
      <c r="I68" s="453"/>
      <c r="J68" s="3"/>
      <c r="K68" s="3"/>
      <c r="L68" s="3"/>
      <c r="M68" s="3"/>
      <c r="N68" s="3"/>
      <c r="O68" s="3"/>
      <c r="P68" s="3"/>
    </row>
    <row r="69" spans="2:17">
      <c r="B69" s="3"/>
      <c r="C69" s="3" t="str">
        <f>"   FCR with "&amp;F17&amp;" Basis Point ROE increase, less Depreciation"</f>
        <v xml:space="preserve">   FCR with 0 Basis Point ROE increase, less Depreciation</v>
      </c>
      <c r="D69" s="47"/>
      <c r="E69" s="3"/>
      <c r="G69" s="489">
        <f>IF(G64=0,0,G68/G64)</f>
        <v>0.11052043399663886</v>
      </c>
      <c r="H69" s="700"/>
      <c r="I69" s="501"/>
      <c r="J69" s="3"/>
      <c r="K69" s="3"/>
      <c r="L69" s="3"/>
      <c r="M69" s="3"/>
      <c r="N69" s="3"/>
      <c r="O69" s="3"/>
      <c r="P69" s="3"/>
    </row>
    <row r="70" spans="2:17">
      <c r="B70" s="3"/>
      <c r="C70" s="452" t="str">
        <f>"   FCR less Depreciation  (TCOS, ln "&amp;TCOS!B31&amp;")"</f>
        <v xml:space="preserve">   FCR less Depreciation  (TCOS, ln 10)</v>
      </c>
      <c r="D70" s="47"/>
      <c r="E70" s="3"/>
      <c r="G70" s="502">
        <f>TCOS!L31</f>
        <v>0.11032660055737779</v>
      </c>
      <c r="H70" s="701"/>
      <c r="I70" s="501"/>
      <c r="J70" s="3"/>
      <c r="K70" s="3"/>
      <c r="L70" s="3"/>
      <c r="M70" s="3"/>
      <c r="N70" s="3"/>
      <c r="O70" s="3"/>
      <c r="P70" s="3"/>
    </row>
    <row r="71" spans="2:17">
      <c r="B71" s="3"/>
      <c r="C71" s="3" t="str">
        <f>"   Incremental FCR with "&amp;F17&amp;" Basis Point ROE increase, less Depreciation"</f>
        <v xml:space="preserve">   Incremental FCR with 0 Basis Point ROE increase, less Depreciation</v>
      </c>
      <c r="D71" s="47"/>
      <c r="E71" s="3"/>
      <c r="G71" s="489">
        <f>G69-G70</f>
        <v>1.9383343926106245E-4</v>
      </c>
      <c r="H71" s="700"/>
      <c r="I71" s="453"/>
      <c r="J71" s="3"/>
      <c r="K71" s="3"/>
      <c r="L71" s="3"/>
      <c r="M71" s="3"/>
      <c r="N71" s="3"/>
      <c r="O71" s="3"/>
      <c r="P71" s="3"/>
    </row>
    <row r="72" spans="2:17">
      <c r="B72" s="3"/>
      <c r="C72" s="3"/>
      <c r="D72" s="47"/>
      <c r="E72" s="3"/>
      <c r="F72" s="489"/>
      <c r="G72" s="3"/>
      <c r="H72" s="699"/>
      <c r="I72" s="3"/>
      <c r="J72" s="3"/>
      <c r="K72" s="3"/>
      <c r="L72" s="3"/>
      <c r="M72" s="3"/>
      <c r="N72" s="3"/>
      <c r="O72" s="3"/>
      <c r="P72" s="3"/>
    </row>
    <row r="73" spans="2:17" ht="18.75">
      <c r="B73" s="449" t="s">
        <v>471</v>
      </c>
      <c r="C73" s="6" t="s">
        <v>71</v>
      </c>
      <c r="D73" s="47"/>
      <c r="E73" s="3"/>
      <c r="F73" s="489"/>
      <c r="G73" s="3"/>
      <c r="H73" s="699"/>
      <c r="I73" s="3"/>
      <c r="J73" s="3"/>
      <c r="K73" s="3"/>
      <c r="L73" s="3"/>
      <c r="M73" s="3"/>
      <c r="N73" s="3"/>
      <c r="O73" s="3"/>
      <c r="P73" s="3"/>
    </row>
    <row r="74" spans="2:17">
      <c r="B74" s="3"/>
      <c r="C74" s="3"/>
      <c r="D74" s="47"/>
      <c r="E74" s="3"/>
      <c r="F74" s="489"/>
      <c r="G74" s="3"/>
      <c r="H74" s="699"/>
      <c r="I74" s="3"/>
      <c r="J74" s="3"/>
      <c r="K74" s="3"/>
      <c r="L74" s="3"/>
      <c r="M74" s="3"/>
      <c r="N74" s="3"/>
      <c r="O74" s="3"/>
      <c r="P74" s="3"/>
    </row>
    <row r="75" spans="2:17">
      <c r="B75" s="3"/>
      <c r="C75" s="3" t="str">
        <f>+"Average Transmission Plant Balance for "&amp;TCOS!L4&amp;" TCOS, ln "&amp;TCOS!B63</f>
        <v>Average Transmission Plant Balance for 2025 TCOS, ln 19</v>
      </c>
      <c r="D75" s="47"/>
      <c r="E75" s="3"/>
      <c r="F75" s="3"/>
      <c r="G75" s="345">
        <f>TCOS!L63</f>
        <v>4126399433.2892313</v>
      </c>
      <c r="I75" s="3"/>
      <c r="J75" s="3"/>
      <c r="K75" s="503"/>
      <c r="L75" s="3"/>
      <c r="M75" s="3"/>
      <c r="N75" s="3"/>
      <c r="O75" s="3"/>
      <c r="P75" s="3"/>
    </row>
    <row r="76" spans="2:17">
      <c r="B76" s="3"/>
      <c r="C76" s="3" t="str">
        <f>"Annual Depreciation and Amortization Expense (TCOS, ln "&amp;TCOS!B161&amp;")"</f>
        <v>Annual Depreciation and Amortization Expense (TCOS, ln 83)</v>
      </c>
      <c r="D76" s="47"/>
      <c r="E76" s="3"/>
      <c r="G76" s="345">
        <f>TCOS!L161</f>
        <v>114406290.97774149</v>
      </c>
      <c r="H76" s="490"/>
      <c r="I76" s="3"/>
      <c r="J76" s="3"/>
      <c r="K76" s="3"/>
      <c r="L76" s="3"/>
      <c r="M76" s="3"/>
      <c r="N76" s="3"/>
      <c r="O76" s="3"/>
      <c r="P76" s="3"/>
    </row>
    <row r="77" spans="2:17" ht="12.75" customHeight="1">
      <c r="B77" s="3"/>
      <c r="C77" s="3" t="s">
        <v>72</v>
      </c>
      <c r="D77" s="47"/>
      <c r="E77" s="3"/>
      <c r="G77" s="643">
        <f>G76/G75</f>
        <v>2.7725452377388021E-2</v>
      </c>
      <c r="H77" s="504"/>
      <c r="I77" s="1214"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AEP Indiana Michigan Transmission Company establishes Transmission plant in service the depreciation expense component of the carrying charge will be calculated as in the Operating Company formula approved in Docket No. ER08-1329.  The calculation for AEP Indiana Michigan Transmission Company is shown on Worksheet P.</v>
      </c>
      <c r="J77" s="1214"/>
      <c r="K77" s="1214"/>
      <c r="L77" s="1214"/>
      <c r="M77" s="1214"/>
      <c r="N77" s="1214"/>
      <c r="O77" s="1214"/>
      <c r="P77" s="450"/>
      <c r="Q77" s="450"/>
    </row>
    <row r="78" spans="2:17">
      <c r="B78" s="3"/>
      <c r="C78" s="3" t="s">
        <v>73</v>
      </c>
      <c r="D78" s="47"/>
      <c r="E78" s="3"/>
      <c r="G78" s="505">
        <f>IF(G77=0,0,1/G77)</f>
        <v>36.06794170166787</v>
      </c>
      <c r="H78" s="490"/>
      <c r="I78" s="1214"/>
      <c r="J78" s="1214"/>
      <c r="K78" s="1214"/>
      <c r="L78" s="1214"/>
      <c r="M78" s="1214"/>
      <c r="N78" s="1214"/>
      <c r="O78" s="1214"/>
      <c r="P78" s="450"/>
      <c r="Q78" s="450"/>
    </row>
    <row r="79" spans="2:17">
      <c r="B79" s="3"/>
      <c r="C79" s="3" t="s">
        <v>596</v>
      </c>
      <c r="D79" s="47"/>
      <c r="E79" s="3"/>
      <c r="G79" s="506">
        <f>ROUND(G78,0)</f>
        <v>36</v>
      </c>
      <c r="H79" s="490"/>
      <c r="I79" s="1214"/>
      <c r="J79" s="1214"/>
      <c r="K79" s="1214"/>
      <c r="L79" s="1214"/>
      <c r="M79" s="1214"/>
      <c r="N79" s="1214"/>
      <c r="O79" s="1214"/>
      <c r="P79" s="450"/>
      <c r="Q79" s="450"/>
    </row>
    <row r="80" spans="2:17">
      <c r="B80" s="3"/>
      <c r="C80" s="3"/>
      <c r="D80" s="47"/>
      <c r="E80" s="3"/>
      <c r="G80" s="506"/>
      <c r="H80" s="490"/>
      <c r="I80" s="1214"/>
      <c r="J80" s="1214"/>
      <c r="K80" s="1214"/>
      <c r="L80" s="1214"/>
      <c r="M80" s="1214"/>
      <c r="N80" s="1214"/>
      <c r="O80" s="1214"/>
    </row>
    <row r="81" spans="1:16">
      <c r="C81" s="507"/>
      <c r="D81" s="506"/>
      <c r="E81" s="506"/>
      <c r="F81" s="506"/>
      <c r="G81" s="503"/>
      <c r="H81" s="503"/>
    </row>
    <row r="82" spans="1:16" ht="20.25">
      <c r="A82" s="447" t="str">
        <f>""&amp;A6&amp;" Worksheet J -  ATRR PROJECTED Calculation for PJM Projects Charged to Benefiting Zones"</f>
        <v>AEP Indiana Michigan Transmission Company Worksheet J -  ATRR PROJECTED Calculation for PJM Projects Charged to Benefiting Zones</v>
      </c>
      <c r="B82" s="3"/>
      <c r="C82" s="3"/>
      <c r="D82" s="47"/>
      <c r="E82" s="3"/>
      <c r="F82" s="489"/>
      <c r="G82" s="3"/>
      <c r="H82" s="490"/>
      <c r="K82" s="398"/>
      <c r="L82" s="398"/>
      <c r="M82" s="398"/>
      <c r="N82" s="398" t="str">
        <f>"Page "&amp;SUM(P$8:P82)&amp;" of "</f>
        <v xml:space="preserve">Page 2 of </v>
      </c>
      <c r="O82" s="448">
        <f>COUNT(P$8:P$56656)</f>
        <v>11</v>
      </c>
      <c r="P82" s="508">
        <v>1</v>
      </c>
    </row>
    <row r="83" spans="1:16">
      <c r="B83" s="3"/>
      <c r="C83" s="3"/>
      <c r="D83" s="47"/>
      <c r="E83" s="3"/>
      <c r="F83" s="3"/>
      <c r="G83" s="3"/>
      <c r="H83" s="490"/>
      <c r="I83" s="3"/>
      <c r="J83" s="3"/>
      <c r="K83" s="3"/>
      <c r="L83" s="3"/>
      <c r="M83" s="3"/>
      <c r="N83" s="3"/>
      <c r="O83" s="3"/>
      <c r="P83" s="3"/>
    </row>
    <row r="84" spans="1:16" ht="18">
      <c r="B84" s="449" t="s">
        <v>472</v>
      </c>
      <c r="C84" s="122" t="s">
        <v>93</v>
      </c>
      <c r="D84" s="47"/>
      <c r="E84" s="3"/>
      <c r="F84" s="3"/>
      <c r="G84" s="3"/>
      <c r="H84" s="490"/>
      <c r="I84" s="490"/>
      <c r="J84" s="503"/>
      <c r="K84" s="490"/>
      <c r="L84" s="490"/>
      <c r="M84" s="490"/>
      <c r="N84" s="490"/>
      <c r="O84" s="3"/>
    </row>
    <row r="85" spans="1:16" ht="18.75">
      <c r="B85" s="449"/>
      <c r="C85" s="6"/>
      <c r="D85" s="47"/>
      <c r="E85" s="3"/>
      <c r="F85" s="3"/>
      <c r="G85" s="3"/>
      <c r="H85" s="490"/>
      <c r="I85" s="490"/>
      <c r="J85" s="503"/>
      <c r="K85" s="490"/>
      <c r="L85" s="490"/>
      <c r="M85" s="490"/>
      <c r="N85" s="490"/>
      <c r="O85" s="3"/>
    </row>
    <row r="86" spans="1:16" ht="18.75">
      <c r="B86" s="449"/>
      <c r="C86" s="6" t="s">
        <v>94</v>
      </c>
      <c r="D86" s="47"/>
      <c r="E86" s="3"/>
      <c r="F86" s="3"/>
      <c r="G86" s="3"/>
      <c r="H86" s="490"/>
      <c r="I86" s="490"/>
      <c r="J86" s="503"/>
      <c r="K86" s="490"/>
      <c r="L86" s="490"/>
      <c r="M86" s="490"/>
      <c r="N86" s="490"/>
      <c r="O86" s="3"/>
    </row>
    <row r="87" spans="1:16" ht="15.75" thickBot="1">
      <c r="C87" s="132"/>
      <c r="D87" s="47"/>
      <c r="E87" s="3"/>
      <c r="F87" s="3"/>
      <c r="G87" s="3"/>
      <c r="H87" s="490"/>
      <c r="I87" s="490"/>
      <c r="J87" s="503"/>
      <c r="K87" s="490"/>
      <c r="L87" s="490"/>
      <c r="M87" s="490"/>
      <c r="N87" s="490"/>
      <c r="O87" s="3"/>
    </row>
    <row r="88" spans="1:16" ht="15.75">
      <c r="C88" s="451" t="s">
        <v>95</v>
      </c>
      <c r="D88" s="47"/>
      <c r="E88" s="3"/>
      <c r="F88" s="3"/>
      <c r="G88" s="566"/>
      <c r="H88" s="3" t="s">
        <v>74</v>
      </c>
      <c r="I88" s="3"/>
      <c r="J88" s="3"/>
      <c r="K88" s="509" t="s">
        <v>99</v>
      </c>
      <c r="L88" s="510"/>
      <c r="M88" s="511"/>
      <c r="N88" s="512">
        <f>IF(I94=0,0,VLOOKUP(I94,C101:O160,5))</f>
        <v>662250.8769429744</v>
      </c>
      <c r="O88" s="3"/>
    </row>
    <row r="89" spans="1:16" ht="15.75">
      <c r="C89" s="451"/>
      <c r="D89" s="47"/>
      <c r="E89" s="3"/>
      <c r="F89" s="3"/>
      <c r="G89" s="3"/>
      <c r="H89" s="513"/>
      <c r="I89" s="513"/>
      <c r="J89" s="514"/>
      <c r="K89" s="515" t="s">
        <v>100</v>
      </c>
      <c r="L89" s="516"/>
      <c r="M89" s="3"/>
      <c r="N89" s="517">
        <f>IF(I94=0,0,VLOOKUP(I94,C101:O160,6))</f>
        <v>662250.8769429744</v>
      </c>
      <c r="O89" s="3"/>
    </row>
    <row r="90" spans="1:16" ht="13.5" thickBot="1">
      <c r="C90" s="518" t="s">
        <v>96</v>
      </c>
      <c r="D90" s="955" t="s">
        <v>813</v>
      </c>
      <c r="E90" s="955"/>
      <c r="F90" s="955"/>
      <c r="G90" s="955"/>
      <c r="H90" s="955"/>
      <c r="I90" s="955"/>
      <c r="J90" s="503"/>
      <c r="K90" s="519" t="s">
        <v>238</v>
      </c>
      <c r="L90" s="520"/>
      <c r="M90" s="520"/>
      <c r="N90" s="521">
        <f>+N89-N88</f>
        <v>0</v>
      </c>
      <c r="O90" s="3"/>
    </row>
    <row r="91" spans="1:16">
      <c r="C91" s="522"/>
      <c r="D91" s="523"/>
      <c r="E91" s="506"/>
      <c r="F91" s="506"/>
      <c r="G91" s="524"/>
      <c r="H91" s="490"/>
      <c r="I91" s="490"/>
      <c r="J91" s="503"/>
      <c r="K91" s="490"/>
      <c r="L91" s="490"/>
      <c r="M91" s="490"/>
      <c r="N91" s="490"/>
      <c r="O91" s="3"/>
    </row>
    <row r="92" spans="1:16" ht="13.5" thickBot="1">
      <c r="C92" s="522"/>
      <c r="D92" s="3"/>
      <c r="E92" s="524"/>
      <c r="F92" s="524"/>
      <c r="G92" s="524"/>
      <c r="H92" s="524"/>
      <c r="I92" s="524"/>
      <c r="J92" s="524"/>
      <c r="K92" s="524"/>
      <c r="L92" s="524"/>
      <c r="M92" s="524"/>
      <c r="N92" s="524"/>
      <c r="O92" s="3"/>
    </row>
    <row r="93" spans="1:16" ht="13.5" thickBot="1">
      <c r="C93" s="525" t="s">
        <v>97</v>
      </c>
      <c r="D93" s="526"/>
      <c r="E93" s="526"/>
      <c r="F93" s="526"/>
      <c r="G93" s="526"/>
      <c r="H93" s="526"/>
      <c r="I93" s="527"/>
      <c r="K93" s="3"/>
      <c r="L93" s="3"/>
      <c r="M93" s="3"/>
      <c r="N93" s="3"/>
      <c r="O93" s="3"/>
    </row>
    <row r="94" spans="1:16" ht="15">
      <c r="C94" s="528" t="s">
        <v>75</v>
      </c>
      <c r="D94" s="568">
        <v>6636011</v>
      </c>
      <c r="E94" s="3" t="s">
        <v>76</v>
      </c>
      <c r="G94" s="47"/>
      <c r="H94" s="47"/>
      <c r="I94" s="529">
        <f>$L$26</f>
        <v>2025</v>
      </c>
      <c r="J94" s="70"/>
      <c r="K94" s="1211" t="s">
        <v>247</v>
      </c>
      <c r="L94" s="1211"/>
      <c r="M94" s="1211"/>
      <c r="N94" s="1211"/>
      <c r="O94" s="1211"/>
    </row>
    <row r="95" spans="1:16">
      <c r="C95" s="528" t="s">
        <v>78</v>
      </c>
      <c r="D95" s="569">
        <v>2012</v>
      </c>
      <c r="E95" s="528" t="s">
        <v>79</v>
      </c>
      <c r="F95" s="47"/>
      <c r="H95"/>
      <c r="I95" s="570">
        <f>IF(G88="",0,$F$17)</f>
        <v>0</v>
      </c>
      <c r="J95" s="530"/>
      <c r="K95" s="503" t="s">
        <v>247</v>
      </c>
    </row>
    <row r="96" spans="1:16">
      <c r="C96" s="528" t="s">
        <v>80</v>
      </c>
      <c r="D96" s="568">
        <v>12</v>
      </c>
      <c r="E96" s="528" t="s">
        <v>81</v>
      </c>
      <c r="F96" s="47"/>
      <c r="H96"/>
      <c r="I96" s="531">
        <f>$G$70</f>
        <v>0.11032660055737779</v>
      </c>
      <c r="J96" s="489"/>
      <c r="K96" t="str">
        <f>"          INPUT PROJECTED ARR (WITH &amp; WITHOUT INCENTIVES) FROM EACH PRIOR YEAR"</f>
        <v xml:space="preserve">          INPUT PROJECTED ARR (WITH &amp; WITHOUT INCENTIVES) FROM EACH PRIOR YEAR</v>
      </c>
    </row>
    <row r="97" spans="2:15">
      <c r="C97" s="528" t="s">
        <v>82</v>
      </c>
      <c r="D97" s="532">
        <f>$G$79</f>
        <v>36</v>
      </c>
      <c r="E97" s="528" t="s">
        <v>83</v>
      </c>
      <c r="F97" s="47"/>
      <c r="H97"/>
      <c r="I97" s="531">
        <f>IF(G88="",I96,$G$69)</f>
        <v>0.11032660055737779</v>
      </c>
      <c r="J97" s="489"/>
      <c r="K97" t="s">
        <v>160</v>
      </c>
    </row>
    <row r="98" spans="2:15" ht="13.5" thickBot="1">
      <c r="C98" s="528" t="s">
        <v>84</v>
      </c>
      <c r="D98" s="567" t="s">
        <v>812</v>
      </c>
      <c r="E98" s="533" t="s">
        <v>85</v>
      </c>
      <c r="F98" s="534"/>
      <c r="G98" s="535"/>
      <c r="H98" s="535"/>
      <c r="I98" s="521">
        <f>IF(D94=0,0,D94/D97)</f>
        <v>184333.63888888888</v>
      </c>
      <c r="J98" s="503"/>
      <c r="K98" s="503" t="s">
        <v>166</v>
      </c>
      <c r="L98" s="503"/>
      <c r="M98" s="503"/>
      <c r="N98" s="503"/>
      <c r="O98" s="3"/>
    </row>
    <row r="99" spans="2:15" ht="51">
      <c r="B99" s="450"/>
      <c r="C99" s="536" t="s">
        <v>75</v>
      </c>
      <c r="D99" s="537" t="s">
        <v>86</v>
      </c>
      <c r="E99" s="538" t="s">
        <v>87</v>
      </c>
      <c r="F99" s="537" t="s">
        <v>88</v>
      </c>
      <c r="G99" s="538" t="s">
        <v>159</v>
      </c>
      <c r="H99" s="539" t="s">
        <v>159</v>
      </c>
      <c r="I99" s="536" t="s">
        <v>98</v>
      </c>
      <c r="J99" s="540"/>
      <c r="K99" s="538" t="s">
        <v>168</v>
      </c>
      <c r="L99" s="541"/>
      <c r="M99" s="538" t="s">
        <v>168</v>
      </c>
      <c r="N99" s="541"/>
      <c r="O99" s="541"/>
    </row>
    <row r="100" spans="2:15" ht="13.5" thickBot="1">
      <c r="C100" s="542" t="s">
        <v>475</v>
      </c>
      <c r="D100" s="543" t="s">
        <v>476</v>
      </c>
      <c r="E100" s="542" t="s">
        <v>369</v>
      </c>
      <c r="F100" s="543" t="s">
        <v>476</v>
      </c>
      <c r="G100" s="544" t="s">
        <v>101</v>
      </c>
      <c r="H100" s="545" t="s">
        <v>103</v>
      </c>
      <c r="I100" s="542" t="s">
        <v>15</v>
      </c>
      <c r="J100" s="546"/>
      <c r="K100" s="544" t="s">
        <v>90</v>
      </c>
      <c r="L100" s="547"/>
      <c r="M100" s="544" t="s">
        <v>103</v>
      </c>
      <c r="N100" s="547"/>
      <c r="O100" s="547"/>
    </row>
    <row r="101" spans="2:15">
      <c r="C101" s="548">
        <f>IF(D95= "","-",D95)</f>
        <v>2012</v>
      </c>
      <c r="D101" s="506">
        <f>+D94</f>
        <v>6636011</v>
      </c>
      <c r="E101" s="549">
        <f>+I98/12*(12-D96)</f>
        <v>0</v>
      </c>
      <c r="F101" s="506">
        <f>+D101-E101</f>
        <v>6636011</v>
      </c>
      <c r="G101" s="731">
        <f>+$I$96*((D101+F101)/2)+E101</f>
        <v>732128.53489136521</v>
      </c>
      <c r="H101" s="732">
        <f>$I$97*((D101+F101)/2)+E101</f>
        <v>732128.53489136521</v>
      </c>
      <c r="I101" s="552">
        <f>+H101-G101</f>
        <v>0</v>
      </c>
      <c r="J101" s="552"/>
      <c r="K101" s="571">
        <v>655786</v>
      </c>
      <c r="L101" s="553"/>
      <c r="M101" s="571">
        <v>655786</v>
      </c>
      <c r="N101" s="553"/>
      <c r="O101" s="553"/>
    </row>
    <row r="102" spans="2:15">
      <c r="C102" s="548">
        <f>IF(D95="","-",+C101+1)</f>
        <v>2013</v>
      </c>
      <c r="D102" s="506">
        <f t="shared" ref="D102:D160" si="0">F101</f>
        <v>6636011</v>
      </c>
      <c r="E102" s="549">
        <f>IF(D102&gt;$I$98,$I$98,D102)</f>
        <v>184333.63888888888</v>
      </c>
      <c r="F102" s="506">
        <f t="shared" ref="F102:F160" si="1">+D102-E102</f>
        <v>6451677.361111111</v>
      </c>
      <c r="G102" s="554">
        <f t="shared" ref="G102:G160" si="2">+$I$96*((D102+F102)/2)+E102</f>
        <v>906293.72190676292</v>
      </c>
      <c r="H102" s="555">
        <f t="shared" ref="H102:H160" si="3">$I$97*((D102+F102)/2)+E102</f>
        <v>906293.72190676292</v>
      </c>
      <c r="I102" s="552">
        <f t="shared" ref="I102:I160" si="4">+H102-G102</f>
        <v>0</v>
      </c>
      <c r="J102" s="552"/>
      <c r="K102" s="572">
        <v>758010</v>
      </c>
      <c r="L102" s="556"/>
      <c r="M102" s="572">
        <v>758010</v>
      </c>
      <c r="N102" s="556"/>
      <c r="O102" s="556"/>
    </row>
    <row r="103" spans="2:15">
      <c r="C103" s="548">
        <f>IF(D95="","-",+C102+1)</f>
        <v>2014</v>
      </c>
      <c r="D103" s="506">
        <f t="shared" si="0"/>
        <v>6451677.361111111</v>
      </c>
      <c r="E103" s="549">
        <f t="shared" ref="E103:E160" si="5">IF(D103&gt;$I$98,$I$98,D103)</f>
        <v>184333.63888888888</v>
      </c>
      <c r="F103" s="506">
        <f t="shared" si="1"/>
        <v>6267343.722222222</v>
      </c>
      <c r="G103" s="554">
        <f t="shared" si="2"/>
        <v>885956.81815978047</v>
      </c>
      <c r="H103" s="555">
        <f t="shared" si="3"/>
        <v>885956.81815978047</v>
      </c>
      <c r="I103" s="552">
        <f t="shared" si="4"/>
        <v>0</v>
      </c>
      <c r="J103" s="552"/>
      <c r="K103" s="572">
        <v>735370</v>
      </c>
      <c r="L103" s="556"/>
      <c r="M103" s="572">
        <v>735370</v>
      </c>
      <c r="N103" s="556"/>
      <c r="O103" s="556"/>
    </row>
    <row r="104" spans="2:15">
      <c r="C104" s="548">
        <f>IF(D95="","-",+C103+1)</f>
        <v>2015</v>
      </c>
      <c r="D104" s="506">
        <f t="shared" si="0"/>
        <v>6267343.722222222</v>
      </c>
      <c r="E104" s="549">
        <f t="shared" si="5"/>
        <v>184333.63888888888</v>
      </c>
      <c r="F104" s="506">
        <f t="shared" si="1"/>
        <v>6083010.083333333</v>
      </c>
      <c r="G104" s="554">
        <f t="shared" si="2"/>
        <v>865619.91441279813</v>
      </c>
      <c r="H104" s="555">
        <f t="shared" si="3"/>
        <v>865619.91441279813</v>
      </c>
      <c r="I104" s="552">
        <f t="shared" si="4"/>
        <v>0</v>
      </c>
      <c r="J104" s="552"/>
      <c r="K104" s="572">
        <v>1351122</v>
      </c>
      <c r="L104" s="556"/>
      <c r="M104" s="572">
        <v>1351122</v>
      </c>
      <c r="N104" s="556"/>
      <c r="O104" s="556"/>
    </row>
    <row r="105" spans="2:15">
      <c r="C105" s="548">
        <f>IF(D95="","-",+C104+1)</f>
        <v>2016</v>
      </c>
      <c r="D105" s="506">
        <f t="shared" si="0"/>
        <v>6083010.083333333</v>
      </c>
      <c r="E105" s="549">
        <f t="shared" si="5"/>
        <v>184333.63888888888</v>
      </c>
      <c r="F105" s="506">
        <f t="shared" si="1"/>
        <v>5898676.444444444</v>
      </c>
      <c r="G105" s="554">
        <f t="shared" si="2"/>
        <v>845283.01066581567</v>
      </c>
      <c r="H105" s="555">
        <f t="shared" si="3"/>
        <v>845283.01066581567</v>
      </c>
      <c r="I105" s="552">
        <f t="shared" si="4"/>
        <v>0</v>
      </c>
      <c r="J105" s="552"/>
      <c r="K105" s="572">
        <v>758565</v>
      </c>
      <c r="L105" s="556"/>
      <c r="M105" s="572">
        <v>758565</v>
      </c>
      <c r="N105" s="556"/>
      <c r="O105" s="556"/>
    </row>
    <row r="106" spans="2:15">
      <c r="C106" s="548">
        <f>IF(D95="","-",+C105+1)</f>
        <v>2017</v>
      </c>
      <c r="D106" s="506">
        <f t="shared" si="0"/>
        <v>5898676.444444444</v>
      </c>
      <c r="E106" s="549">
        <f t="shared" si="5"/>
        <v>184333.63888888888</v>
      </c>
      <c r="F106" s="506">
        <f t="shared" si="1"/>
        <v>5714342.805555555</v>
      </c>
      <c r="G106" s="554">
        <f t="shared" si="2"/>
        <v>824946.10691883345</v>
      </c>
      <c r="H106" s="555">
        <f t="shared" si="3"/>
        <v>824946.10691883345</v>
      </c>
      <c r="I106" s="552">
        <f t="shared" si="4"/>
        <v>0</v>
      </c>
      <c r="J106" s="552"/>
      <c r="K106" s="572">
        <v>1860187</v>
      </c>
      <c r="L106" s="556"/>
      <c r="M106" s="572">
        <v>1860187</v>
      </c>
      <c r="N106" s="556"/>
      <c r="O106" s="556"/>
    </row>
    <row r="107" spans="2:15">
      <c r="C107" s="966">
        <f>IF(D95="","-",+C106+1)</f>
        <v>2018</v>
      </c>
      <c r="D107" s="506">
        <f t="shared" si="0"/>
        <v>5714342.805555555</v>
      </c>
      <c r="E107" s="549">
        <f t="shared" si="5"/>
        <v>184333.63888888888</v>
      </c>
      <c r="F107" s="506">
        <f t="shared" si="1"/>
        <v>5530009.166666666</v>
      </c>
      <c r="G107" s="554">
        <f t="shared" si="2"/>
        <v>804609.20317185088</v>
      </c>
      <c r="H107" s="555">
        <f t="shared" si="3"/>
        <v>804609.20317185088</v>
      </c>
      <c r="I107" s="552">
        <f t="shared" si="4"/>
        <v>0</v>
      </c>
      <c r="J107" s="552"/>
      <c r="K107" s="572">
        <v>1592956</v>
      </c>
      <c r="L107" s="556"/>
      <c r="M107" s="572">
        <v>1592956</v>
      </c>
      <c r="N107" s="556"/>
      <c r="O107" s="556"/>
    </row>
    <row r="108" spans="2:15">
      <c r="C108" s="956">
        <f>IF(D95="","-",+C107+1)</f>
        <v>2019</v>
      </c>
      <c r="D108" s="506">
        <f t="shared" si="0"/>
        <v>5530009.166666666</v>
      </c>
      <c r="E108" s="549">
        <f t="shared" si="5"/>
        <v>184333.63888888888</v>
      </c>
      <c r="F108" s="506">
        <f t="shared" si="1"/>
        <v>5345675.5277777771</v>
      </c>
      <c r="G108" s="554">
        <f t="shared" si="2"/>
        <v>784272.29942486866</v>
      </c>
      <c r="H108" s="555">
        <f t="shared" si="3"/>
        <v>784272.29942486866</v>
      </c>
      <c r="I108" s="552">
        <f t="shared" si="4"/>
        <v>0</v>
      </c>
      <c r="J108" s="552"/>
      <c r="K108" s="572"/>
      <c r="L108" s="556"/>
      <c r="M108" s="572"/>
      <c r="N108" s="556"/>
      <c r="O108" s="556"/>
    </row>
    <row r="109" spans="2:15">
      <c r="C109" s="548">
        <f>IF(D95="","-",+C108+1)</f>
        <v>2020</v>
      </c>
      <c r="D109" s="506">
        <f t="shared" si="0"/>
        <v>5345675.5277777771</v>
      </c>
      <c r="E109" s="549">
        <f t="shared" si="5"/>
        <v>184333.63888888888</v>
      </c>
      <c r="F109" s="506">
        <f t="shared" si="1"/>
        <v>5161341.8888888881</v>
      </c>
      <c r="G109" s="554">
        <f t="shared" si="2"/>
        <v>763935.3956778862</v>
      </c>
      <c r="H109" s="555">
        <f t="shared" si="3"/>
        <v>763935.3956778862</v>
      </c>
      <c r="I109" s="552">
        <f t="shared" si="4"/>
        <v>0</v>
      </c>
      <c r="J109" s="552"/>
      <c r="K109" s="572"/>
      <c r="L109" s="556"/>
      <c r="M109" s="572"/>
      <c r="N109" s="556"/>
      <c r="O109" s="556"/>
    </row>
    <row r="110" spans="2:15">
      <c r="C110" s="548">
        <f>IF(D95="","-",+C109+1)</f>
        <v>2021</v>
      </c>
      <c r="D110" s="506">
        <f t="shared" si="0"/>
        <v>5161341.8888888881</v>
      </c>
      <c r="E110" s="549">
        <f t="shared" si="5"/>
        <v>184333.63888888888</v>
      </c>
      <c r="F110" s="506">
        <f t="shared" si="1"/>
        <v>4977008.2499999991</v>
      </c>
      <c r="G110" s="554">
        <f t="shared" si="2"/>
        <v>743598.49193090387</v>
      </c>
      <c r="H110" s="555">
        <f t="shared" si="3"/>
        <v>743598.49193090387</v>
      </c>
      <c r="I110" s="552">
        <f t="shared" si="4"/>
        <v>0</v>
      </c>
      <c r="J110" s="552"/>
      <c r="K110" s="572"/>
      <c r="L110" s="556"/>
      <c r="M110" s="572"/>
      <c r="N110" s="556"/>
      <c r="O110" s="556"/>
    </row>
    <row r="111" spans="2:15">
      <c r="C111" s="548">
        <f>IF(D95="","-",+C110+1)</f>
        <v>2022</v>
      </c>
      <c r="D111" s="506">
        <f t="shared" si="0"/>
        <v>4977008.2499999991</v>
      </c>
      <c r="E111" s="549">
        <f t="shared" si="5"/>
        <v>184333.63888888888</v>
      </c>
      <c r="F111" s="506">
        <f t="shared" si="1"/>
        <v>4792674.6111111101</v>
      </c>
      <c r="G111" s="554">
        <f t="shared" si="2"/>
        <v>723261.58818392141</v>
      </c>
      <c r="H111" s="555">
        <f t="shared" si="3"/>
        <v>723261.58818392141</v>
      </c>
      <c r="I111" s="552">
        <f t="shared" si="4"/>
        <v>0</v>
      </c>
      <c r="J111" s="552"/>
      <c r="K111" s="572"/>
      <c r="L111" s="556"/>
      <c r="M111" s="572"/>
      <c r="N111" s="556"/>
      <c r="O111" s="556"/>
    </row>
    <row r="112" spans="2:15">
      <c r="C112" s="548">
        <f>IF(D95="","-",+C111+1)</f>
        <v>2023</v>
      </c>
      <c r="D112" s="506">
        <f t="shared" si="0"/>
        <v>4792674.6111111101</v>
      </c>
      <c r="E112" s="549">
        <f t="shared" si="5"/>
        <v>184333.63888888888</v>
      </c>
      <c r="F112" s="506">
        <f t="shared" si="1"/>
        <v>4608340.9722222211</v>
      </c>
      <c r="G112" s="554">
        <f t="shared" si="2"/>
        <v>702924.68443693919</v>
      </c>
      <c r="H112" s="555">
        <f t="shared" si="3"/>
        <v>702924.68443693919</v>
      </c>
      <c r="I112" s="552">
        <f t="shared" si="4"/>
        <v>0</v>
      </c>
      <c r="J112" s="552"/>
      <c r="K112" s="572"/>
      <c r="L112" s="556"/>
      <c r="M112" s="572"/>
      <c r="N112" s="556"/>
      <c r="O112" s="556"/>
    </row>
    <row r="113" spans="3:15">
      <c r="C113" s="548">
        <f>IF(D95="","-",+C112+1)</f>
        <v>2024</v>
      </c>
      <c r="D113" s="506">
        <f t="shared" si="0"/>
        <v>4608340.9722222211</v>
      </c>
      <c r="E113" s="549">
        <f t="shared" si="5"/>
        <v>184333.63888888888</v>
      </c>
      <c r="F113" s="506">
        <f t="shared" si="1"/>
        <v>4424007.3333333321</v>
      </c>
      <c r="G113" s="554">
        <f t="shared" si="2"/>
        <v>682587.78068995662</v>
      </c>
      <c r="H113" s="555">
        <f t="shared" si="3"/>
        <v>682587.78068995662</v>
      </c>
      <c r="I113" s="552">
        <f t="shared" si="4"/>
        <v>0</v>
      </c>
      <c r="J113" s="552"/>
      <c r="K113" s="572"/>
      <c r="L113" s="556"/>
      <c r="M113" s="572"/>
      <c r="N113" s="557"/>
      <c r="O113" s="556"/>
    </row>
    <row r="114" spans="3:15">
      <c r="C114" s="548">
        <f>IF(D95="","-",+C113+1)</f>
        <v>2025</v>
      </c>
      <c r="D114" s="506">
        <f t="shared" si="0"/>
        <v>4424007.3333333321</v>
      </c>
      <c r="E114" s="549">
        <f t="shared" si="5"/>
        <v>184333.63888888888</v>
      </c>
      <c r="F114" s="506">
        <f t="shared" si="1"/>
        <v>4239673.6944444431</v>
      </c>
      <c r="G114" s="554">
        <f t="shared" si="2"/>
        <v>662250.8769429744</v>
      </c>
      <c r="H114" s="555">
        <f t="shared" si="3"/>
        <v>662250.8769429744</v>
      </c>
      <c r="I114" s="552">
        <f t="shared" si="4"/>
        <v>0</v>
      </c>
      <c r="J114" s="552"/>
      <c r="K114" s="572"/>
      <c r="L114" s="556"/>
      <c r="M114" s="572"/>
      <c r="N114" s="556"/>
      <c r="O114" s="556"/>
    </row>
    <row r="115" spans="3:15">
      <c r="C115" s="548">
        <f>IF(D95="","-",+C114+1)</f>
        <v>2026</v>
      </c>
      <c r="D115" s="506">
        <f t="shared" si="0"/>
        <v>4239673.6944444431</v>
      </c>
      <c r="E115" s="549">
        <f t="shared" si="5"/>
        <v>184333.63888888888</v>
      </c>
      <c r="F115" s="506">
        <f t="shared" si="1"/>
        <v>4055340.0555555541</v>
      </c>
      <c r="G115" s="554">
        <f t="shared" si="2"/>
        <v>641913.97319599194</v>
      </c>
      <c r="H115" s="555">
        <f t="shared" si="3"/>
        <v>641913.97319599194</v>
      </c>
      <c r="I115" s="552">
        <f t="shared" si="4"/>
        <v>0</v>
      </c>
      <c r="J115" s="552"/>
      <c r="K115" s="572"/>
      <c r="L115" s="556"/>
      <c r="M115" s="572"/>
      <c r="N115" s="556"/>
      <c r="O115" s="556"/>
    </row>
    <row r="116" spans="3:15">
      <c r="C116" s="548">
        <f>IF(D95="","-",+C115+1)</f>
        <v>2027</v>
      </c>
      <c r="D116" s="506">
        <f t="shared" si="0"/>
        <v>4055340.0555555541</v>
      </c>
      <c r="E116" s="549">
        <f t="shared" si="5"/>
        <v>184333.63888888888</v>
      </c>
      <c r="F116" s="506">
        <f t="shared" si="1"/>
        <v>3871006.4166666651</v>
      </c>
      <c r="G116" s="554">
        <f t="shared" si="2"/>
        <v>621577.06944900961</v>
      </c>
      <c r="H116" s="555">
        <f t="shared" si="3"/>
        <v>621577.06944900961</v>
      </c>
      <c r="I116" s="552">
        <f t="shared" si="4"/>
        <v>0</v>
      </c>
      <c r="J116" s="552"/>
      <c r="K116" s="572"/>
      <c r="L116" s="556"/>
      <c r="M116" s="572"/>
      <c r="N116" s="556"/>
      <c r="O116" s="556"/>
    </row>
    <row r="117" spans="3:15">
      <c r="C117" s="548">
        <f>IF(D95="","-",+C116+1)</f>
        <v>2028</v>
      </c>
      <c r="D117" s="506">
        <f t="shared" si="0"/>
        <v>3871006.4166666651</v>
      </c>
      <c r="E117" s="549">
        <f t="shared" si="5"/>
        <v>184333.63888888888</v>
      </c>
      <c r="F117" s="506">
        <f t="shared" si="1"/>
        <v>3686672.7777777761</v>
      </c>
      <c r="G117" s="554">
        <f t="shared" si="2"/>
        <v>601240.16570202727</v>
      </c>
      <c r="H117" s="555">
        <f t="shared" si="3"/>
        <v>601240.16570202727</v>
      </c>
      <c r="I117" s="552">
        <f t="shared" si="4"/>
        <v>0</v>
      </c>
      <c r="J117" s="552"/>
      <c r="K117" s="572"/>
      <c r="L117" s="556"/>
      <c r="M117" s="572"/>
      <c r="N117" s="556"/>
      <c r="O117" s="556"/>
    </row>
    <row r="118" spans="3:15">
      <c r="C118" s="548">
        <f>IF(D95="","-",+C117+1)</f>
        <v>2029</v>
      </c>
      <c r="D118" s="506">
        <f t="shared" si="0"/>
        <v>3686672.7777777761</v>
      </c>
      <c r="E118" s="549">
        <f t="shared" si="5"/>
        <v>184333.63888888888</v>
      </c>
      <c r="F118" s="506">
        <f t="shared" si="1"/>
        <v>3502339.1388888871</v>
      </c>
      <c r="G118" s="554">
        <f t="shared" si="2"/>
        <v>580903.26195504481</v>
      </c>
      <c r="H118" s="555">
        <f t="shared" si="3"/>
        <v>580903.26195504481</v>
      </c>
      <c r="I118" s="552">
        <f t="shared" si="4"/>
        <v>0</v>
      </c>
      <c r="J118" s="552"/>
      <c r="K118" s="572"/>
      <c r="L118" s="556"/>
      <c r="M118" s="572"/>
      <c r="N118" s="556"/>
      <c r="O118" s="556"/>
    </row>
    <row r="119" spans="3:15">
      <c r="C119" s="548">
        <f>IF(D95="","-",+C118+1)</f>
        <v>2030</v>
      </c>
      <c r="D119" s="506">
        <f t="shared" si="0"/>
        <v>3502339.1388888871</v>
      </c>
      <c r="E119" s="549">
        <f t="shared" si="5"/>
        <v>184333.63888888888</v>
      </c>
      <c r="F119" s="506">
        <f t="shared" si="1"/>
        <v>3318005.4999999981</v>
      </c>
      <c r="G119" s="554">
        <f t="shared" si="2"/>
        <v>560566.35820806236</v>
      </c>
      <c r="H119" s="555">
        <f t="shared" si="3"/>
        <v>560566.35820806236</v>
      </c>
      <c r="I119" s="552">
        <f t="shared" si="4"/>
        <v>0</v>
      </c>
      <c r="J119" s="552"/>
      <c r="K119" s="572"/>
      <c r="L119" s="556"/>
      <c r="M119" s="572"/>
      <c r="N119" s="556"/>
      <c r="O119" s="556"/>
    </row>
    <row r="120" spans="3:15">
      <c r="C120" s="548">
        <f>IF(D95="","-",+C119+1)</f>
        <v>2031</v>
      </c>
      <c r="D120" s="506">
        <f t="shared" si="0"/>
        <v>3318005.4999999981</v>
      </c>
      <c r="E120" s="549">
        <f t="shared" si="5"/>
        <v>184333.63888888888</v>
      </c>
      <c r="F120" s="506">
        <f t="shared" si="1"/>
        <v>3133671.8611111091</v>
      </c>
      <c r="G120" s="554">
        <f t="shared" si="2"/>
        <v>540229.45446108002</v>
      </c>
      <c r="H120" s="555">
        <f t="shared" si="3"/>
        <v>540229.45446108002</v>
      </c>
      <c r="I120" s="552">
        <f t="shared" si="4"/>
        <v>0</v>
      </c>
      <c r="J120" s="552"/>
      <c r="K120" s="572"/>
      <c r="L120" s="556"/>
      <c r="M120" s="572"/>
      <c r="N120" s="556"/>
      <c r="O120" s="556"/>
    </row>
    <row r="121" spans="3:15">
      <c r="C121" s="548">
        <f>IF(D95="","-",+C120+1)</f>
        <v>2032</v>
      </c>
      <c r="D121" s="506">
        <f t="shared" si="0"/>
        <v>3133671.8611111091</v>
      </c>
      <c r="E121" s="549">
        <f t="shared" si="5"/>
        <v>184333.63888888888</v>
      </c>
      <c r="F121" s="506">
        <f t="shared" si="1"/>
        <v>2949338.2222222202</v>
      </c>
      <c r="G121" s="554">
        <f t="shared" si="2"/>
        <v>519892.55071409768</v>
      </c>
      <c r="H121" s="555">
        <f t="shared" si="3"/>
        <v>519892.55071409768</v>
      </c>
      <c r="I121" s="552">
        <f t="shared" si="4"/>
        <v>0</v>
      </c>
      <c r="J121" s="552"/>
      <c r="K121" s="572"/>
      <c r="L121" s="556"/>
      <c r="M121" s="572"/>
      <c r="N121" s="556"/>
      <c r="O121" s="556"/>
    </row>
    <row r="122" spans="3:15">
      <c r="C122" s="548">
        <f>IF(D95="","-",+C121+1)</f>
        <v>2033</v>
      </c>
      <c r="D122" s="506">
        <f t="shared" si="0"/>
        <v>2949338.2222222202</v>
      </c>
      <c r="E122" s="549">
        <f t="shared" si="5"/>
        <v>184333.63888888888</v>
      </c>
      <c r="F122" s="506">
        <f t="shared" si="1"/>
        <v>2765004.5833333312</v>
      </c>
      <c r="G122" s="554">
        <f t="shared" si="2"/>
        <v>499555.64696711529</v>
      </c>
      <c r="H122" s="555">
        <f t="shared" si="3"/>
        <v>499555.64696711529</v>
      </c>
      <c r="I122" s="552">
        <f t="shared" si="4"/>
        <v>0</v>
      </c>
      <c r="J122" s="552"/>
      <c r="K122" s="572"/>
      <c r="L122" s="556"/>
      <c r="M122" s="572"/>
      <c r="N122" s="556"/>
      <c r="O122" s="556"/>
    </row>
    <row r="123" spans="3:15">
      <c r="C123" s="548">
        <f>IF(D95="","-",+C122+1)</f>
        <v>2034</v>
      </c>
      <c r="D123" s="506">
        <f t="shared" si="0"/>
        <v>2765004.5833333312</v>
      </c>
      <c r="E123" s="549">
        <f t="shared" si="5"/>
        <v>184333.63888888888</v>
      </c>
      <c r="F123" s="506">
        <f t="shared" si="1"/>
        <v>2580670.9444444422</v>
      </c>
      <c r="G123" s="554">
        <f t="shared" si="2"/>
        <v>479218.74322013295</v>
      </c>
      <c r="H123" s="555">
        <f t="shared" si="3"/>
        <v>479218.74322013295</v>
      </c>
      <c r="I123" s="552">
        <f t="shared" si="4"/>
        <v>0</v>
      </c>
      <c r="J123" s="552"/>
      <c r="K123" s="572"/>
      <c r="L123" s="556"/>
      <c r="M123" s="572"/>
      <c r="N123" s="556"/>
      <c r="O123" s="556"/>
    </row>
    <row r="124" spans="3:15">
      <c r="C124" s="548">
        <f>IF(D95="","-",+C123+1)</f>
        <v>2035</v>
      </c>
      <c r="D124" s="506">
        <f t="shared" si="0"/>
        <v>2580670.9444444422</v>
      </c>
      <c r="E124" s="549">
        <f t="shared" si="5"/>
        <v>184333.63888888888</v>
      </c>
      <c r="F124" s="506">
        <f t="shared" si="1"/>
        <v>2396337.3055555532</v>
      </c>
      <c r="G124" s="554">
        <f t="shared" si="2"/>
        <v>458881.83947315055</v>
      </c>
      <c r="H124" s="555">
        <f t="shared" si="3"/>
        <v>458881.83947315055</v>
      </c>
      <c r="I124" s="552">
        <f t="shared" si="4"/>
        <v>0</v>
      </c>
      <c r="J124" s="552"/>
      <c r="K124" s="572"/>
      <c r="L124" s="556"/>
      <c r="M124" s="572"/>
      <c r="N124" s="556"/>
      <c r="O124" s="556"/>
    </row>
    <row r="125" spans="3:15">
      <c r="C125" s="548">
        <f>IF(D95="","-",+C124+1)</f>
        <v>2036</v>
      </c>
      <c r="D125" s="506">
        <f t="shared" si="0"/>
        <v>2396337.3055555532</v>
      </c>
      <c r="E125" s="549">
        <f t="shared" si="5"/>
        <v>184333.63888888888</v>
      </c>
      <c r="F125" s="506">
        <f t="shared" si="1"/>
        <v>2212003.6666666642</v>
      </c>
      <c r="G125" s="554">
        <f t="shared" si="2"/>
        <v>438544.93572616822</v>
      </c>
      <c r="H125" s="555">
        <f t="shared" si="3"/>
        <v>438544.93572616822</v>
      </c>
      <c r="I125" s="552">
        <f t="shared" si="4"/>
        <v>0</v>
      </c>
      <c r="J125" s="552"/>
      <c r="K125" s="572"/>
      <c r="L125" s="556"/>
      <c r="M125" s="572"/>
      <c r="N125" s="556"/>
      <c r="O125" s="556"/>
    </row>
    <row r="126" spans="3:15">
      <c r="C126" s="548">
        <f>IF(D95="","-",+C125+1)</f>
        <v>2037</v>
      </c>
      <c r="D126" s="506">
        <f t="shared" si="0"/>
        <v>2212003.6666666642</v>
      </c>
      <c r="E126" s="549">
        <f t="shared" si="5"/>
        <v>184333.63888888888</v>
      </c>
      <c r="F126" s="506">
        <f t="shared" si="1"/>
        <v>2027670.0277777752</v>
      </c>
      <c r="G126" s="554">
        <f t="shared" si="2"/>
        <v>418208.03197918576</v>
      </c>
      <c r="H126" s="555">
        <f t="shared" si="3"/>
        <v>418208.03197918576</v>
      </c>
      <c r="I126" s="552">
        <f t="shared" si="4"/>
        <v>0</v>
      </c>
      <c r="J126" s="552"/>
      <c r="K126" s="572"/>
      <c r="L126" s="556"/>
      <c r="M126" s="572"/>
      <c r="N126" s="556"/>
      <c r="O126" s="556"/>
    </row>
    <row r="127" spans="3:15">
      <c r="C127" s="548">
        <f>IF(D95="","-",+C126+1)</f>
        <v>2038</v>
      </c>
      <c r="D127" s="506">
        <f t="shared" si="0"/>
        <v>2027670.0277777752</v>
      </c>
      <c r="E127" s="549">
        <f t="shared" si="5"/>
        <v>184333.63888888888</v>
      </c>
      <c r="F127" s="506">
        <f t="shared" si="1"/>
        <v>1843336.3888888862</v>
      </c>
      <c r="G127" s="554">
        <f t="shared" si="2"/>
        <v>397871.12823220342</v>
      </c>
      <c r="H127" s="555">
        <f t="shared" si="3"/>
        <v>397871.12823220342</v>
      </c>
      <c r="I127" s="552">
        <f t="shared" si="4"/>
        <v>0</v>
      </c>
      <c r="J127" s="552"/>
      <c r="K127" s="572"/>
      <c r="L127" s="556"/>
      <c r="M127" s="572"/>
      <c r="N127" s="556"/>
      <c r="O127" s="556"/>
    </row>
    <row r="128" spans="3:15">
      <c r="C128" s="548">
        <f>IF(D95="","-",+C127+1)</f>
        <v>2039</v>
      </c>
      <c r="D128" s="506">
        <f t="shared" si="0"/>
        <v>1843336.3888888862</v>
      </c>
      <c r="E128" s="549">
        <f t="shared" si="5"/>
        <v>184333.63888888888</v>
      </c>
      <c r="F128" s="506">
        <f t="shared" si="1"/>
        <v>1659002.7499999972</v>
      </c>
      <c r="G128" s="554">
        <f t="shared" si="2"/>
        <v>377534.22448522109</v>
      </c>
      <c r="H128" s="555">
        <f t="shared" si="3"/>
        <v>377534.22448522109</v>
      </c>
      <c r="I128" s="552">
        <f t="shared" si="4"/>
        <v>0</v>
      </c>
      <c r="J128" s="552"/>
      <c r="K128" s="572"/>
      <c r="L128" s="556"/>
      <c r="M128" s="572"/>
      <c r="N128" s="556"/>
      <c r="O128" s="556"/>
    </row>
    <row r="129" spans="3:15">
      <c r="C129" s="548">
        <f>IF(D95="","-",+C128+1)</f>
        <v>2040</v>
      </c>
      <c r="D129" s="506">
        <f t="shared" si="0"/>
        <v>1659002.7499999972</v>
      </c>
      <c r="E129" s="549">
        <f t="shared" si="5"/>
        <v>184333.63888888888</v>
      </c>
      <c r="F129" s="506">
        <f t="shared" si="1"/>
        <v>1474669.1111111082</v>
      </c>
      <c r="G129" s="550">
        <f t="shared" si="2"/>
        <v>357197.32073823863</v>
      </c>
      <c r="H129" s="555">
        <f t="shared" si="3"/>
        <v>357197.32073823863</v>
      </c>
      <c r="I129" s="552">
        <f t="shared" si="4"/>
        <v>0</v>
      </c>
      <c r="J129" s="552"/>
      <c r="K129" s="572"/>
      <c r="L129" s="556"/>
      <c r="M129" s="572"/>
      <c r="N129" s="556"/>
      <c r="O129" s="556"/>
    </row>
    <row r="130" spans="3:15">
      <c r="C130" s="548">
        <f>IF(D95="","-",+C129+1)</f>
        <v>2041</v>
      </c>
      <c r="D130" s="506">
        <f t="shared" si="0"/>
        <v>1474669.1111111082</v>
      </c>
      <c r="E130" s="549">
        <f t="shared" si="5"/>
        <v>184333.63888888888</v>
      </c>
      <c r="F130" s="506">
        <f t="shared" si="1"/>
        <v>1290335.4722222192</v>
      </c>
      <c r="G130" s="554">
        <f t="shared" si="2"/>
        <v>336860.41699125629</v>
      </c>
      <c r="H130" s="555">
        <f t="shared" si="3"/>
        <v>336860.41699125629</v>
      </c>
      <c r="I130" s="552">
        <f t="shared" si="4"/>
        <v>0</v>
      </c>
      <c r="J130" s="552"/>
      <c r="K130" s="572"/>
      <c r="L130" s="556"/>
      <c r="M130" s="572"/>
      <c r="N130" s="556"/>
      <c r="O130" s="556"/>
    </row>
    <row r="131" spans="3:15">
      <c r="C131" s="548">
        <f>IF(D95="","-",+C130+1)</f>
        <v>2042</v>
      </c>
      <c r="D131" s="506">
        <f t="shared" si="0"/>
        <v>1290335.4722222192</v>
      </c>
      <c r="E131" s="549">
        <f t="shared" si="5"/>
        <v>184333.63888888888</v>
      </c>
      <c r="F131" s="506">
        <f t="shared" si="1"/>
        <v>1106001.8333333302</v>
      </c>
      <c r="G131" s="554">
        <f t="shared" si="2"/>
        <v>316523.51324427396</v>
      </c>
      <c r="H131" s="555">
        <f t="shared" si="3"/>
        <v>316523.51324427396</v>
      </c>
      <c r="I131" s="552">
        <f t="shared" si="4"/>
        <v>0</v>
      </c>
      <c r="J131" s="552"/>
      <c r="K131" s="572"/>
      <c r="L131" s="556"/>
      <c r="M131" s="572"/>
      <c r="N131" s="556"/>
      <c r="O131" s="556"/>
    </row>
    <row r="132" spans="3:15">
      <c r="C132" s="548">
        <f>IF(D95="","-",+C131+1)</f>
        <v>2043</v>
      </c>
      <c r="D132" s="506">
        <f t="shared" si="0"/>
        <v>1106001.8333333302</v>
      </c>
      <c r="E132" s="549">
        <f t="shared" si="5"/>
        <v>184333.63888888888</v>
      </c>
      <c r="F132" s="506">
        <f t="shared" si="1"/>
        <v>921668.19444444135</v>
      </c>
      <c r="G132" s="554">
        <f t="shared" si="2"/>
        <v>296186.60949729156</v>
      </c>
      <c r="H132" s="555">
        <f t="shared" si="3"/>
        <v>296186.60949729156</v>
      </c>
      <c r="I132" s="552">
        <f t="shared" si="4"/>
        <v>0</v>
      </c>
      <c r="J132" s="552"/>
      <c r="K132" s="572"/>
      <c r="L132" s="556"/>
      <c r="M132" s="572"/>
      <c r="N132" s="556"/>
      <c r="O132" s="556"/>
    </row>
    <row r="133" spans="3:15">
      <c r="C133" s="548">
        <f>IF(D95="","-",+C132+1)</f>
        <v>2044</v>
      </c>
      <c r="D133" s="506">
        <f t="shared" si="0"/>
        <v>921668.19444444135</v>
      </c>
      <c r="E133" s="549">
        <f t="shared" si="5"/>
        <v>184333.63888888888</v>
      </c>
      <c r="F133" s="506">
        <f t="shared" si="1"/>
        <v>737334.55555555248</v>
      </c>
      <c r="G133" s="554">
        <f t="shared" si="2"/>
        <v>275849.70575030916</v>
      </c>
      <c r="H133" s="555">
        <f t="shared" si="3"/>
        <v>275849.70575030916</v>
      </c>
      <c r="I133" s="552">
        <f t="shared" si="4"/>
        <v>0</v>
      </c>
      <c r="J133" s="552"/>
      <c r="K133" s="572"/>
      <c r="L133" s="556"/>
      <c r="M133" s="572"/>
      <c r="N133" s="556"/>
      <c r="O133" s="556"/>
    </row>
    <row r="134" spans="3:15">
      <c r="C134" s="548">
        <f>IF(D95="","-",+C133+1)</f>
        <v>2045</v>
      </c>
      <c r="D134" s="506">
        <f t="shared" si="0"/>
        <v>737334.55555555248</v>
      </c>
      <c r="E134" s="549">
        <f t="shared" si="5"/>
        <v>184333.63888888888</v>
      </c>
      <c r="F134" s="506">
        <f t="shared" si="1"/>
        <v>553000.9166666636</v>
      </c>
      <c r="G134" s="554">
        <f t="shared" si="2"/>
        <v>255512.80200332683</v>
      </c>
      <c r="H134" s="555">
        <f t="shared" si="3"/>
        <v>255512.80200332683</v>
      </c>
      <c r="I134" s="552">
        <f t="shared" si="4"/>
        <v>0</v>
      </c>
      <c r="J134" s="552"/>
      <c r="K134" s="572"/>
      <c r="L134" s="556"/>
      <c r="M134" s="572"/>
      <c r="N134" s="556"/>
      <c r="O134" s="556"/>
    </row>
    <row r="135" spans="3:15">
      <c r="C135" s="548">
        <f>IF(D95="","-",+C134+1)</f>
        <v>2046</v>
      </c>
      <c r="D135" s="506">
        <f t="shared" si="0"/>
        <v>553000.9166666636</v>
      </c>
      <c r="E135" s="549">
        <f t="shared" si="5"/>
        <v>184333.63888888888</v>
      </c>
      <c r="F135" s="506">
        <f t="shared" si="1"/>
        <v>368667.27777777473</v>
      </c>
      <c r="G135" s="554">
        <f t="shared" si="2"/>
        <v>235175.89825634446</v>
      </c>
      <c r="H135" s="555">
        <f t="shared" si="3"/>
        <v>235175.89825634446</v>
      </c>
      <c r="I135" s="552">
        <f t="shared" si="4"/>
        <v>0</v>
      </c>
      <c r="J135" s="552"/>
      <c r="K135" s="572"/>
      <c r="L135" s="556"/>
      <c r="M135" s="572"/>
      <c r="N135" s="556"/>
      <c r="O135" s="556"/>
    </row>
    <row r="136" spans="3:15">
      <c r="C136" s="548">
        <f>IF(D95="","-",+C135+1)</f>
        <v>2047</v>
      </c>
      <c r="D136" s="506">
        <f t="shared" si="0"/>
        <v>368667.27777777473</v>
      </c>
      <c r="E136" s="549">
        <f t="shared" si="5"/>
        <v>184333.63888888888</v>
      </c>
      <c r="F136" s="506">
        <f t="shared" si="1"/>
        <v>184333.63888888585</v>
      </c>
      <c r="G136" s="554">
        <f t="shared" si="2"/>
        <v>214838.99450936209</v>
      </c>
      <c r="H136" s="555">
        <f t="shared" si="3"/>
        <v>214838.99450936209</v>
      </c>
      <c r="I136" s="552">
        <f t="shared" si="4"/>
        <v>0</v>
      </c>
      <c r="J136" s="552"/>
      <c r="K136" s="572"/>
      <c r="L136" s="556"/>
      <c r="M136" s="572"/>
      <c r="N136" s="556"/>
      <c r="O136" s="556"/>
    </row>
    <row r="137" spans="3:15">
      <c r="C137" s="548">
        <f>IF(D95="","-",+C136+1)</f>
        <v>2048</v>
      </c>
      <c r="D137" s="506">
        <f t="shared" si="0"/>
        <v>184333.63888888585</v>
      </c>
      <c r="E137" s="549">
        <f t="shared" si="5"/>
        <v>184333.63888888585</v>
      </c>
      <c r="F137" s="506">
        <f t="shared" si="1"/>
        <v>0</v>
      </c>
      <c r="G137" s="554">
        <f t="shared" si="2"/>
        <v>194502.09076237687</v>
      </c>
      <c r="H137" s="555">
        <f t="shared" si="3"/>
        <v>194502.09076237687</v>
      </c>
      <c r="I137" s="552">
        <f t="shared" si="4"/>
        <v>0</v>
      </c>
      <c r="J137" s="552"/>
      <c r="K137" s="572"/>
      <c r="L137" s="556"/>
      <c r="M137" s="572"/>
      <c r="N137" s="556"/>
      <c r="O137" s="556"/>
    </row>
    <row r="138" spans="3:15">
      <c r="C138" s="548">
        <f>IF(D95="","-",+C137+1)</f>
        <v>2049</v>
      </c>
      <c r="D138" s="506">
        <f t="shared" si="0"/>
        <v>0</v>
      </c>
      <c r="E138" s="549">
        <f t="shared" si="5"/>
        <v>0</v>
      </c>
      <c r="F138" s="506">
        <f t="shared" si="1"/>
        <v>0</v>
      </c>
      <c r="G138" s="554">
        <f t="shared" si="2"/>
        <v>0</v>
      </c>
      <c r="H138" s="555">
        <f t="shared" si="3"/>
        <v>0</v>
      </c>
      <c r="I138" s="552">
        <f t="shared" si="4"/>
        <v>0</v>
      </c>
      <c r="J138" s="552"/>
      <c r="K138" s="572"/>
      <c r="L138" s="556"/>
      <c r="M138" s="572"/>
      <c r="N138" s="556"/>
      <c r="O138" s="556"/>
    </row>
    <row r="139" spans="3:15">
      <c r="C139" s="548">
        <f>IF(D95="","-",+C138+1)</f>
        <v>2050</v>
      </c>
      <c r="D139" s="506">
        <f t="shared" si="0"/>
        <v>0</v>
      </c>
      <c r="E139" s="549">
        <f t="shared" si="5"/>
        <v>0</v>
      </c>
      <c r="F139" s="506">
        <f t="shared" si="1"/>
        <v>0</v>
      </c>
      <c r="G139" s="554">
        <f t="shared" si="2"/>
        <v>0</v>
      </c>
      <c r="H139" s="555">
        <f t="shared" si="3"/>
        <v>0</v>
      </c>
      <c r="I139" s="552">
        <f t="shared" si="4"/>
        <v>0</v>
      </c>
      <c r="J139" s="552"/>
      <c r="K139" s="572"/>
      <c r="L139" s="556"/>
      <c r="M139" s="572"/>
      <c r="N139" s="556"/>
      <c r="O139" s="556"/>
    </row>
    <row r="140" spans="3:15">
      <c r="C140" s="548">
        <f>IF(D95="","-",+C139+1)</f>
        <v>2051</v>
      </c>
      <c r="D140" s="506">
        <f t="shared" si="0"/>
        <v>0</v>
      </c>
      <c r="E140" s="549">
        <f t="shared" si="5"/>
        <v>0</v>
      </c>
      <c r="F140" s="506">
        <f t="shared" si="1"/>
        <v>0</v>
      </c>
      <c r="G140" s="554">
        <f t="shared" si="2"/>
        <v>0</v>
      </c>
      <c r="H140" s="555">
        <f t="shared" si="3"/>
        <v>0</v>
      </c>
      <c r="I140" s="552">
        <f t="shared" si="4"/>
        <v>0</v>
      </c>
      <c r="J140" s="552"/>
      <c r="K140" s="572"/>
      <c r="L140" s="556"/>
      <c r="M140" s="572"/>
      <c r="N140" s="556"/>
      <c r="O140" s="556"/>
    </row>
    <row r="141" spans="3:15">
      <c r="C141" s="548">
        <f>IF(D95="","-",+C140+1)</f>
        <v>2052</v>
      </c>
      <c r="D141" s="506">
        <f t="shared" si="0"/>
        <v>0</v>
      </c>
      <c r="E141" s="549">
        <f t="shared" si="5"/>
        <v>0</v>
      </c>
      <c r="F141" s="506">
        <f t="shared" si="1"/>
        <v>0</v>
      </c>
      <c r="G141" s="554">
        <f t="shared" si="2"/>
        <v>0</v>
      </c>
      <c r="H141" s="555">
        <f t="shared" si="3"/>
        <v>0</v>
      </c>
      <c r="I141" s="552">
        <f t="shared" si="4"/>
        <v>0</v>
      </c>
      <c r="J141" s="552"/>
      <c r="K141" s="572"/>
      <c r="L141" s="556"/>
      <c r="M141" s="572"/>
      <c r="N141" s="556"/>
      <c r="O141" s="556"/>
    </row>
    <row r="142" spans="3:15">
      <c r="C142" s="548">
        <f>IF(D95="","-",+C141+1)</f>
        <v>2053</v>
      </c>
      <c r="D142" s="506">
        <f t="shared" si="0"/>
        <v>0</v>
      </c>
      <c r="E142" s="549">
        <f t="shared" si="5"/>
        <v>0</v>
      </c>
      <c r="F142" s="506">
        <f t="shared" si="1"/>
        <v>0</v>
      </c>
      <c r="G142" s="554">
        <f t="shared" si="2"/>
        <v>0</v>
      </c>
      <c r="H142" s="555">
        <f t="shared" si="3"/>
        <v>0</v>
      </c>
      <c r="I142" s="552">
        <f t="shared" si="4"/>
        <v>0</v>
      </c>
      <c r="J142" s="552"/>
      <c r="K142" s="572"/>
      <c r="L142" s="556"/>
      <c r="M142" s="572"/>
      <c r="N142" s="556"/>
      <c r="O142" s="556"/>
    </row>
    <row r="143" spans="3:15">
      <c r="C143" s="548">
        <f>IF(D95="","-",+C142+1)</f>
        <v>2054</v>
      </c>
      <c r="D143" s="506">
        <f t="shared" si="0"/>
        <v>0</v>
      </c>
      <c r="E143" s="549">
        <f t="shared" si="5"/>
        <v>0</v>
      </c>
      <c r="F143" s="506">
        <f t="shared" si="1"/>
        <v>0</v>
      </c>
      <c r="G143" s="554">
        <f t="shared" si="2"/>
        <v>0</v>
      </c>
      <c r="H143" s="555">
        <f t="shared" si="3"/>
        <v>0</v>
      </c>
      <c r="I143" s="552">
        <f t="shared" si="4"/>
        <v>0</v>
      </c>
      <c r="J143" s="552"/>
      <c r="K143" s="572"/>
      <c r="L143" s="556"/>
      <c r="M143" s="572"/>
      <c r="N143" s="556"/>
      <c r="O143" s="556"/>
    </row>
    <row r="144" spans="3:15">
      <c r="C144" s="548">
        <f>IF(D95="","-",+C143+1)</f>
        <v>2055</v>
      </c>
      <c r="D144" s="506">
        <f t="shared" si="0"/>
        <v>0</v>
      </c>
      <c r="E144" s="549">
        <f t="shared" si="5"/>
        <v>0</v>
      </c>
      <c r="F144" s="506">
        <f t="shared" si="1"/>
        <v>0</v>
      </c>
      <c r="G144" s="554">
        <f t="shared" si="2"/>
        <v>0</v>
      </c>
      <c r="H144" s="555">
        <f t="shared" si="3"/>
        <v>0</v>
      </c>
      <c r="I144" s="552">
        <f t="shared" si="4"/>
        <v>0</v>
      </c>
      <c r="J144" s="552"/>
      <c r="K144" s="572"/>
      <c r="L144" s="556"/>
      <c r="M144" s="572"/>
      <c r="N144" s="556"/>
      <c r="O144" s="556"/>
    </row>
    <row r="145" spans="3:15">
      <c r="C145" s="548">
        <f>IF(D95="","-",+C144+1)</f>
        <v>2056</v>
      </c>
      <c r="D145" s="506">
        <f t="shared" si="0"/>
        <v>0</v>
      </c>
      <c r="E145" s="549">
        <f t="shared" si="5"/>
        <v>0</v>
      </c>
      <c r="F145" s="506">
        <f t="shared" si="1"/>
        <v>0</v>
      </c>
      <c r="G145" s="554">
        <f t="shared" si="2"/>
        <v>0</v>
      </c>
      <c r="H145" s="555">
        <f t="shared" si="3"/>
        <v>0</v>
      </c>
      <c r="I145" s="552">
        <f t="shared" si="4"/>
        <v>0</v>
      </c>
      <c r="J145" s="552"/>
      <c r="K145" s="572"/>
      <c r="L145" s="556"/>
      <c r="M145" s="572"/>
      <c r="N145" s="556"/>
      <c r="O145" s="556"/>
    </row>
    <row r="146" spans="3:15">
      <c r="C146" s="548">
        <f>IF(D95="","-",+C145+1)</f>
        <v>2057</v>
      </c>
      <c r="D146" s="506">
        <f t="shared" si="0"/>
        <v>0</v>
      </c>
      <c r="E146" s="549">
        <f t="shared" si="5"/>
        <v>0</v>
      </c>
      <c r="F146" s="506">
        <f t="shared" si="1"/>
        <v>0</v>
      </c>
      <c r="G146" s="554">
        <f t="shared" si="2"/>
        <v>0</v>
      </c>
      <c r="H146" s="555">
        <f t="shared" si="3"/>
        <v>0</v>
      </c>
      <c r="I146" s="552">
        <f t="shared" si="4"/>
        <v>0</v>
      </c>
      <c r="J146" s="552"/>
      <c r="K146" s="572"/>
      <c r="L146" s="556"/>
      <c r="M146" s="572"/>
      <c r="N146" s="556"/>
      <c r="O146" s="556"/>
    </row>
    <row r="147" spans="3:15">
      <c r="C147" s="548">
        <f>IF(D95="","-",+C146+1)</f>
        <v>2058</v>
      </c>
      <c r="D147" s="506">
        <f t="shared" si="0"/>
        <v>0</v>
      </c>
      <c r="E147" s="549">
        <f t="shared" si="5"/>
        <v>0</v>
      </c>
      <c r="F147" s="506">
        <f t="shared" si="1"/>
        <v>0</v>
      </c>
      <c r="G147" s="554">
        <f t="shared" si="2"/>
        <v>0</v>
      </c>
      <c r="H147" s="555">
        <f t="shared" si="3"/>
        <v>0</v>
      </c>
      <c r="I147" s="552">
        <f t="shared" si="4"/>
        <v>0</v>
      </c>
      <c r="J147" s="552"/>
      <c r="K147" s="572"/>
      <c r="L147" s="556"/>
      <c r="M147" s="572"/>
      <c r="N147" s="556"/>
      <c r="O147" s="556"/>
    </row>
    <row r="148" spans="3:15">
      <c r="C148" s="548">
        <f>IF(D95="","-",+C147+1)</f>
        <v>2059</v>
      </c>
      <c r="D148" s="506">
        <f t="shared" si="0"/>
        <v>0</v>
      </c>
      <c r="E148" s="549">
        <f t="shared" si="5"/>
        <v>0</v>
      </c>
      <c r="F148" s="506">
        <f t="shared" si="1"/>
        <v>0</v>
      </c>
      <c r="G148" s="554">
        <f t="shared" si="2"/>
        <v>0</v>
      </c>
      <c r="H148" s="555">
        <f t="shared" si="3"/>
        <v>0</v>
      </c>
      <c r="I148" s="552">
        <f t="shared" si="4"/>
        <v>0</v>
      </c>
      <c r="J148" s="552"/>
      <c r="K148" s="572"/>
      <c r="L148" s="556"/>
      <c r="M148" s="572"/>
      <c r="N148" s="556"/>
      <c r="O148" s="556"/>
    </row>
    <row r="149" spans="3:15">
      <c r="C149" s="548">
        <f>IF(D95="","-",+C148+1)</f>
        <v>2060</v>
      </c>
      <c r="D149" s="506">
        <f t="shared" si="0"/>
        <v>0</v>
      </c>
      <c r="E149" s="549">
        <f t="shared" si="5"/>
        <v>0</v>
      </c>
      <c r="F149" s="506">
        <f t="shared" si="1"/>
        <v>0</v>
      </c>
      <c r="G149" s="554">
        <f t="shared" si="2"/>
        <v>0</v>
      </c>
      <c r="H149" s="555">
        <f t="shared" si="3"/>
        <v>0</v>
      </c>
      <c r="I149" s="552">
        <f t="shared" si="4"/>
        <v>0</v>
      </c>
      <c r="J149" s="552"/>
      <c r="K149" s="572"/>
      <c r="L149" s="556"/>
      <c r="M149" s="572"/>
      <c r="N149" s="556"/>
      <c r="O149" s="556"/>
    </row>
    <row r="150" spans="3:15">
      <c r="C150" s="548">
        <f>IF(D95="","-",+C149+1)</f>
        <v>2061</v>
      </c>
      <c r="D150" s="506">
        <f t="shared" si="0"/>
        <v>0</v>
      </c>
      <c r="E150" s="549">
        <f t="shared" si="5"/>
        <v>0</v>
      </c>
      <c r="F150" s="506">
        <f t="shared" si="1"/>
        <v>0</v>
      </c>
      <c r="G150" s="554">
        <f t="shared" si="2"/>
        <v>0</v>
      </c>
      <c r="H150" s="555">
        <f t="shared" si="3"/>
        <v>0</v>
      </c>
      <c r="I150" s="552">
        <f t="shared" si="4"/>
        <v>0</v>
      </c>
      <c r="J150" s="552"/>
      <c r="K150" s="572"/>
      <c r="L150" s="556"/>
      <c r="M150" s="572"/>
      <c r="N150" s="556"/>
      <c r="O150" s="556"/>
    </row>
    <row r="151" spans="3:15">
      <c r="C151" s="548">
        <f>IF(D95="","-",+C150+1)</f>
        <v>2062</v>
      </c>
      <c r="D151" s="506">
        <f t="shared" si="0"/>
        <v>0</v>
      </c>
      <c r="E151" s="549">
        <f t="shared" si="5"/>
        <v>0</v>
      </c>
      <c r="F151" s="506">
        <f t="shared" si="1"/>
        <v>0</v>
      </c>
      <c r="G151" s="554">
        <f t="shared" si="2"/>
        <v>0</v>
      </c>
      <c r="H151" s="555">
        <f t="shared" si="3"/>
        <v>0</v>
      </c>
      <c r="I151" s="552">
        <f t="shared" si="4"/>
        <v>0</v>
      </c>
      <c r="J151" s="552"/>
      <c r="K151" s="572"/>
      <c r="L151" s="556"/>
      <c r="M151" s="572"/>
      <c r="N151" s="556"/>
      <c r="O151" s="556"/>
    </row>
    <row r="152" spans="3:15">
      <c r="C152" s="548">
        <f>IF(D95="","-",+C151+1)</f>
        <v>2063</v>
      </c>
      <c r="D152" s="506">
        <f t="shared" si="0"/>
        <v>0</v>
      </c>
      <c r="E152" s="549">
        <f t="shared" si="5"/>
        <v>0</v>
      </c>
      <c r="F152" s="506">
        <f t="shared" si="1"/>
        <v>0</v>
      </c>
      <c r="G152" s="554">
        <f t="shared" si="2"/>
        <v>0</v>
      </c>
      <c r="H152" s="555">
        <f t="shared" si="3"/>
        <v>0</v>
      </c>
      <c r="I152" s="552">
        <f t="shared" si="4"/>
        <v>0</v>
      </c>
      <c r="J152" s="552"/>
      <c r="K152" s="572"/>
      <c r="L152" s="556"/>
      <c r="M152" s="572"/>
      <c r="N152" s="556"/>
      <c r="O152" s="556"/>
    </row>
    <row r="153" spans="3:15">
      <c r="C153" s="548">
        <f>IF(D95="","-",+C152+1)</f>
        <v>2064</v>
      </c>
      <c r="D153" s="506">
        <f t="shared" si="0"/>
        <v>0</v>
      </c>
      <c r="E153" s="549">
        <f t="shared" si="5"/>
        <v>0</v>
      </c>
      <c r="F153" s="506">
        <f t="shared" si="1"/>
        <v>0</v>
      </c>
      <c r="G153" s="554">
        <f t="shared" si="2"/>
        <v>0</v>
      </c>
      <c r="H153" s="555">
        <f t="shared" si="3"/>
        <v>0</v>
      </c>
      <c r="I153" s="552">
        <f t="shared" si="4"/>
        <v>0</v>
      </c>
      <c r="J153" s="552"/>
      <c r="K153" s="572"/>
      <c r="L153" s="556"/>
      <c r="M153" s="572"/>
      <c r="N153" s="556"/>
      <c r="O153" s="556"/>
    </row>
    <row r="154" spans="3:15">
      <c r="C154" s="548">
        <f>IF(D95="","-",+C153+1)</f>
        <v>2065</v>
      </c>
      <c r="D154" s="506">
        <f t="shared" si="0"/>
        <v>0</v>
      </c>
      <c r="E154" s="549">
        <f t="shared" si="5"/>
        <v>0</v>
      </c>
      <c r="F154" s="506">
        <f t="shared" si="1"/>
        <v>0</v>
      </c>
      <c r="G154" s="554">
        <f t="shared" si="2"/>
        <v>0</v>
      </c>
      <c r="H154" s="555">
        <f t="shared" si="3"/>
        <v>0</v>
      </c>
      <c r="I154" s="552">
        <f t="shared" si="4"/>
        <v>0</v>
      </c>
      <c r="J154" s="552"/>
      <c r="K154" s="572"/>
      <c r="L154" s="556"/>
      <c r="M154" s="572"/>
      <c r="N154" s="556"/>
      <c r="O154" s="556"/>
    </row>
    <row r="155" spans="3:15">
      <c r="C155" s="548">
        <f>IF(D95="","-",+C154+1)</f>
        <v>2066</v>
      </c>
      <c r="D155" s="506">
        <f t="shared" si="0"/>
        <v>0</v>
      </c>
      <c r="E155" s="549">
        <f t="shared" si="5"/>
        <v>0</v>
      </c>
      <c r="F155" s="506">
        <f t="shared" si="1"/>
        <v>0</v>
      </c>
      <c r="G155" s="554">
        <f t="shared" si="2"/>
        <v>0</v>
      </c>
      <c r="H155" s="555">
        <f t="shared" si="3"/>
        <v>0</v>
      </c>
      <c r="I155" s="552">
        <f t="shared" si="4"/>
        <v>0</v>
      </c>
      <c r="J155" s="552"/>
      <c r="K155" s="572"/>
      <c r="L155" s="556"/>
      <c r="M155" s="572"/>
      <c r="N155" s="556"/>
      <c r="O155" s="556"/>
    </row>
    <row r="156" spans="3:15">
      <c r="C156" s="548">
        <f>IF(D95="","-",+C155+1)</f>
        <v>2067</v>
      </c>
      <c r="D156" s="506">
        <f t="shared" si="0"/>
        <v>0</v>
      </c>
      <c r="E156" s="549">
        <f t="shared" si="5"/>
        <v>0</v>
      </c>
      <c r="F156" s="506">
        <f t="shared" si="1"/>
        <v>0</v>
      </c>
      <c r="G156" s="554">
        <f t="shared" si="2"/>
        <v>0</v>
      </c>
      <c r="H156" s="555">
        <f t="shared" si="3"/>
        <v>0</v>
      </c>
      <c r="I156" s="552">
        <f t="shared" si="4"/>
        <v>0</v>
      </c>
      <c r="J156" s="552"/>
      <c r="K156" s="572"/>
      <c r="L156" s="556"/>
      <c r="M156" s="572"/>
      <c r="N156" s="556"/>
      <c r="O156" s="556"/>
    </row>
    <row r="157" spans="3:15">
      <c r="C157" s="548">
        <f>IF(D95="","-",+C156+1)</f>
        <v>2068</v>
      </c>
      <c r="D157" s="506">
        <f t="shared" si="0"/>
        <v>0</v>
      </c>
      <c r="E157" s="549">
        <f t="shared" si="5"/>
        <v>0</v>
      </c>
      <c r="F157" s="506">
        <f t="shared" si="1"/>
        <v>0</v>
      </c>
      <c r="G157" s="554">
        <f t="shared" si="2"/>
        <v>0</v>
      </c>
      <c r="H157" s="555">
        <f t="shared" si="3"/>
        <v>0</v>
      </c>
      <c r="I157" s="552">
        <f t="shared" si="4"/>
        <v>0</v>
      </c>
      <c r="J157" s="552"/>
      <c r="K157" s="572"/>
      <c r="L157" s="556"/>
      <c r="M157" s="572"/>
      <c r="N157" s="556"/>
      <c r="O157" s="556"/>
    </row>
    <row r="158" spans="3:15">
      <c r="C158" s="548">
        <f>IF(D95="","-",+C157+1)</f>
        <v>2069</v>
      </c>
      <c r="D158" s="506">
        <f t="shared" si="0"/>
        <v>0</v>
      </c>
      <c r="E158" s="549">
        <f t="shared" si="5"/>
        <v>0</v>
      </c>
      <c r="F158" s="506">
        <f t="shared" si="1"/>
        <v>0</v>
      </c>
      <c r="G158" s="554">
        <f t="shared" si="2"/>
        <v>0</v>
      </c>
      <c r="H158" s="555">
        <f t="shared" si="3"/>
        <v>0</v>
      </c>
      <c r="I158" s="552">
        <f t="shared" si="4"/>
        <v>0</v>
      </c>
      <c r="J158" s="552"/>
      <c r="K158" s="572"/>
      <c r="L158" s="556"/>
      <c r="M158" s="572"/>
      <c r="N158" s="556"/>
      <c r="O158" s="556"/>
    </row>
    <row r="159" spans="3:15">
      <c r="C159" s="548">
        <f>IF(D95="","-",+C158+1)</f>
        <v>2070</v>
      </c>
      <c r="D159" s="506">
        <f t="shared" si="0"/>
        <v>0</v>
      </c>
      <c r="E159" s="549">
        <f t="shared" si="5"/>
        <v>0</v>
      </c>
      <c r="F159" s="506">
        <f t="shared" si="1"/>
        <v>0</v>
      </c>
      <c r="G159" s="554">
        <f t="shared" si="2"/>
        <v>0</v>
      </c>
      <c r="H159" s="555">
        <f t="shared" si="3"/>
        <v>0</v>
      </c>
      <c r="I159" s="552">
        <f t="shared" si="4"/>
        <v>0</v>
      </c>
      <c r="J159" s="552"/>
      <c r="K159" s="572"/>
      <c r="L159" s="556"/>
      <c r="M159" s="572"/>
      <c r="N159" s="556"/>
      <c r="O159" s="556"/>
    </row>
    <row r="160" spans="3:15" ht="13.5" thickBot="1">
      <c r="C160" s="558">
        <f>IF(D95="","-",+C159+1)</f>
        <v>2071</v>
      </c>
      <c r="D160" s="559">
        <f t="shared" si="0"/>
        <v>0</v>
      </c>
      <c r="E160" s="560">
        <f t="shared" si="5"/>
        <v>0</v>
      </c>
      <c r="F160" s="559">
        <f t="shared" si="1"/>
        <v>0</v>
      </c>
      <c r="G160" s="561">
        <f t="shared" si="2"/>
        <v>0</v>
      </c>
      <c r="H160" s="561">
        <f t="shared" si="3"/>
        <v>0</v>
      </c>
      <c r="I160" s="562">
        <f t="shared" si="4"/>
        <v>0</v>
      </c>
      <c r="J160" s="552"/>
      <c r="K160" s="573"/>
      <c r="L160" s="563"/>
      <c r="M160" s="573"/>
      <c r="N160" s="563"/>
      <c r="O160" s="563"/>
    </row>
    <row r="161" spans="1:16">
      <c r="C161" s="506" t="s">
        <v>91</v>
      </c>
      <c r="D161" s="503"/>
      <c r="E161" s="503">
        <f>SUM(E101:E160)</f>
        <v>6636011</v>
      </c>
      <c r="F161" s="503"/>
      <c r="G161" s="503">
        <f>SUM(G101:G160)</f>
        <v>20546453.162935928</v>
      </c>
      <c r="H161" s="503">
        <f>SUM(H101:H160)</f>
        <v>20546453.162935928</v>
      </c>
      <c r="I161" s="503">
        <f>SUM(I101:I160)</f>
        <v>0</v>
      </c>
      <c r="J161" s="503"/>
      <c r="K161" s="503"/>
      <c r="L161" s="503"/>
      <c r="M161" s="503"/>
      <c r="N161" s="503"/>
      <c r="O161" s="3"/>
    </row>
    <row r="162" spans="1:16">
      <c r="D162" s="47"/>
      <c r="E162" s="3"/>
      <c r="F162" s="3"/>
      <c r="G162" s="3"/>
      <c r="H162" s="490"/>
      <c r="I162" s="490"/>
      <c r="J162" s="503"/>
      <c r="K162" s="490"/>
      <c r="L162" s="490"/>
      <c r="M162" s="490"/>
      <c r="N162" s="490"/>
      <c r="O162" s="3"/>
    </row>
    <row r="163" spans="1:16">
      <c r="C163" s="3" t="s">
        <v>13</v>
      </c>
      <c r="D163" s="47"/>
      <c r="E163" s="3"/>
      <c r="F163" s="3"/>
      <c r="G163" s="3"/>
      <c r="H163" s="490"/>
      <c r="I163" s="490"/>
      <c r="J163" s="503"/>
      <c r="K163" s="490"/>
      <c r="L163" s="490"/>
      <c r="M163" s="490"/>
      <c r="N163" s="490"/>
      <c r="O163" s="3"/>
    </row>
    <row r="164" spans="1:16">
      <c r="C164" s="3"/>
      <c r="D164" s="47"/>
      <c r="E164" s="3"/>
      <c r="F164" s="3"/>
      <c r="G164" s="3"/>
      <c r="H164" s="490"/>
      <c r="I164" s="490"/>
      <c r="J164" s="503"/>
      <c r="K164" s="490"/>
      <c r="L164" s="490"/>
      <c r="M164" s="490"/>
      <c r="N164" s="490"/>
      <c r="O164" s="3"/>
    </row>
    <row r="165" spans="1:16">
      <c r="C165" s="518" t="s">
        <v>14</v>
      </c>
      <c r="D165" s="506"/>
      <c r="E165" s="506"/>
      <c r="F165" s="506"/>
      <c r="G165" s="503"/>
      <c r="H165" s="503"/>
      <c r="I165" s="564"/>
      <c r="J165" s="564"/>
      <c r="K165" s="564"/>
      <c r="L165" s="564"/>
      <c r="M165" s="564"/>
      <c r="N165" s="564"/>
      <c r="O165" s="3"/>
    </row>
    <row r="166" spans="1:16">
      <c r="C166" s="507" t="s">
        <v>271</v>
      </c>
      <c r="D166" s="506"/>
      <c r="E166" s="506"/>
      <c r="F166" s="506"/>
      <c r="G166" s="503"/>
      <c r="H166" s="503"/>
      <c r="I166" s="564"/>
      <c r="J166" s="564"/>
      <c r="K166" s="564"/>
      <c r="L166" s="564"/>
      <c r="M166" s="564"/>
      <c r="N166" s="564"/>
      <c r="O166" s="3"/>
    </row>
    <row r="167" spans="1:16">
      <c r="C167" s="507" t="s">
        <v>92</v>
      </c>
      <c r="D167" s="506"/>
      <c r="E167" s="506"/>
      <c r="F167" s="506"/>
      <c r="G167" s="503"/>
      <c r="H167" s="503"/>
      <c r="I167" s="564"/>
      <c r="J167" s="564"/>
      <c r="K167" s="564"/>
      <c r="L167" s="564"/>
      <c r="M167" s="564"/>
      <c r="N167" s="564"/>
      <c r="O167" s="3"/>
    </row>
    <row r="168" spans="1:16">
      <c r="C168" s="507"/>
      <c r="D168" s="506"/>
      <c r="E168" s="506"/>
      <c r="F168" s="506"/>
      <c r="G168" s="503"/>
      <c r="H168" s="503"/>
      <c r="I168" s="564"/>
      <c r="J168" s="564"/>
      <c r="K168" s="564"/>
      <c r="L168" s="564"/>
      <c r="M168" s="564"/>
      <c r="N168" s="564"/>
      <c r="O168" s="3"/>
    </row>
    <row r="169" spans="1:16">
      <c r="C169" s="1209" t="s">
        <v>6</v>
      </c>
      <c r="D169" s="1209"/>
      <c r="E169" s="1209"/>
      <c r="F169" s="1209"/>
      <c r="G169" s="1209"/>
      <c r="H169" s="1209"/>
      <c r="I169" s="1209"/>
      <c r="J169" s="1209"/>
      <c r="K169" s="1209"/>
      <c r="L169" s="1209"/>
      <c r="M169" s="1209"/>
      <c r="N169" s="1209"/>
      <c r="O169" s="1209"/>
    </row>
    <row r="170" spans="1:16">
      <c r="C170" s="1209"/>
      <c r="D170" s="1209"/>
      <c r="E170" s="1209"/>
      <c r="F170" s="1209"/>
      <c r="G170" s="1209"/>
      <c r="H170" s="1209"/>
      <c r="I170" s="1209"/>
      <c r="J170" s="1209"/>
      <c r="K170" s="1209"/>
      <c r="L170" s="1209"/>
      <c r="M170" s="1209"/>
      <c r="N170" s="1209"/>
      <c r="O170" s="1209"/>
    </row>
    <row r="171" spans="1:16">
      <c r="C171" s="507"/>
      <c r="D171" s="506"/>
      <c r="E171" s="506"/>
      <c r="F171" s="506"/>
      <c r="G171" s="503"/>
      <c r="H171" s="503"/>
    </row>
    <row r="172" spans="1:16" ht="20.25">
      <c r="A172" s="447" t="str">
        <f>""&amp;A96&amp;" Worksheet J -  ATRR PROJECTED Calculation for PJM Projects Charged to Benefiting Zones"</f>
        <v xml:space="preserve"> Worksheet J -  ATRR PROJECTED Calculation for PJM Projects Charged to Benefiting Zones</v>
      </c>
      <c r="B172" s="3"/>
      <c r="C172" s="3"/>
      <c r="D172" s="47"/>
      <c r="E172" s="3"/>
      <c r="F172" s="489"/>
      <c r="G172" s="3"/>
      <c r="H172" s="490"/>
      <c r="K172" s="398"/>
      <c r="L172" s="398"/>
      <c r="M172" s="398"/>
      <c r="N172" s="398" t="str">
        <f>"Page "&amp;SUM(P$8:P172)&amp;" of "</f>
        <v xml:space="preserve">Page 3 of </v>
      </c>
      <c r="O172" s="448">
        <f>COUNT(P$8:P$56656)</f>
        <v>11</v>
      </c>
      <c r="P172">
        <v>1</v>
      </c>
    </row>
    <row r="173" spans="1:16">
      <c r="B173" s="3"/>
      <c r="C173" s="3"/>
      <c r="D173" s="47"/>
      <c r="E173" s="3"/>
      <c r="F173" s="3"/>
      <c r="G173" s="3"/>
      <c r="H173" s="490"/>
      <c r="I173" s="3"/>
      <c r="J173" s="3"/>
      <c r="K173" s="3"/>
      <c r="L173" s="3"/>
      <c r="M173" s="3"/>
      <c r="N173" s="3"/>
      <c r="O173" s="3"/>
    </row>
    <row r="174" spans="1:16" ht="18">
      <c r="B174" s="449" t="s">
        <v>472</v>
      </c>
      <c r="C174" s="122" t="s">
        <v>93</v>
      </c>
      <c r="D174" s="47"/>
      <c r="E174" s="3"/>
      <c r="F174" s="3"/>
      <c r="G174" s="3"/>
      <c r="H174" s="490"/>
      <c r="I174" s="490"/>
      <c r="J174" s="503"/>
      <c r="K174" s="490"/>
      <c r="L174" s="490"/>
      <c r="M174" s="490"/>
      <c r="N174" s="490"/>
      <c r="O174" s="3"/>
    </row>
    <row r="175" spans="1:16" ht="18.75">
      <c r="B175" s="449"/>
      <c r="C175" s="6"/>
      <c r="D175" s="47"/>
      <c r="E175" s="3"/>
      <c r="F175" s="3"/>
      <c r="G175" s="3"/>
      <c r="H175" s="490"/>
      <c r="I175" s="490"/>
      <c r="J175" s="503"/>
      <c r="K175" s="490"/>
      <c r="L175" s="490"/>
      <c r="M175" s="490"/>
      <c r="N175" s="490"/>
      <c r="O175" s="3"/>
    </row>
    <row r="176" spans="1:16" ht="18.75">
      <c r="B176" s="449"/>
      <c r="C176" s="6" t="s">
        <v>94</v>
      </c>
      <c r="D176" s="47"/>
      <c r="E176" s="3"/>
      <c r="F176" s="3"/>
      <c r="G176" s="3"/>
      <c r="H176" s="490"/>
      <c r="I176" s="490"/>
      <c r="J176" s="503"/>
      <c r="K176" s="490"/>
      <c r="L176" s="490"/>
      <c r="M176" s="490"/>
      <c r="N176" s="490"/>
      <c r="O176" s="3"/>
    </row>
    <row r="177" spans="2:15" ht="15.75" thickBot="1">
      <c r="C177" s="132"/>
      <c r="D177" s="47"/>
      <c r="E177" s="3"/>
      <c r="F177" s="3"/>
      <c r="G177" s="3"/>
      <c r="H177" s="490"/>
      <c r="I177" s="490"/>
      <c r="J177" s="503"/>
      <c r="K177" s="490"/>
      <c r="L177" s="490"/>
      <c r="M177" s="490"/>
      <c r="N177" s="490"/>
      <c r="O177" s="3"/>
    </row>
    <row r="178" spans="2:15" ht="15.75">
      <c r="C178" s="451" t="s">
        <v>95</v>
      </c>
      <c r="D178" s="47"/>
      <c r="E178" s="3"/>
      <c r="F178" s="3"/>
      <c r="G178" s="566"/>
      <c r="H178" s="3" t="s">
        <v>74</v>
      </c>
      <c r="I178" s="3"/>
      <c r="J178" s="3"/>
      <c r="K178" s="509" t="s">
        <v>99</v>
      </c>
      <c r="L178" s="510"/>
      <c r="M178" s="511"/>
      <c r="N178" s="512">
        <f>IF(I184=0,0,VLOOKUP(I184,C191:O250,5))</f>
        <v>1546762.9290862118</v>
      </c>
      <c r="O178" s="3"/>
    </row>
    <row r="179" spans="2:15" ht="15.75">
      <c r="C179" s="451"/>
      <c r="D179" s="47"/>
      <c r="E179" s="3"/>
      <c r="F179" s="3"/>
      <c r="G179" s="3"/>
      <c r="H179" s="513"/>
      <c r="I179" s="513"/>
      <c r="J179" s="514"/>
      <c r="K179" s="515" t="s">
        <v>100</v>
      </c>
      <c r="L179" s="516"/>
      <c r="M179" s="3"/>
      <c r="N179" s="517">
        <f>IF(I184=0,0,VLOOKUP(I184,C191:O250,6))</f>
        <v>1546762.9290862118</v>
      </c>
      <c r="O179" s="3"/>
    </row>
    <row r="180" spans="2:15" ht="13.5" thickBot="1">
      <c r="C180" s="518" t="s">
        <v>96</v>
      </c>
      <c r="D180" s="1210" t="s">
        <v>814</v>
      </c>
      <c r="E180" s="1210"/>
      <c r="F180" s="1210"/>
      <c r="G180" s="1210"/>
      <c r="H180" s="1210"/>
      <c r="I180" s="1210"/>
      <c r="J180" s="503"/>
      <c r="K180" s="519" t="s">
        <v>238</v>
      </c>
      <c r="L180" s="520"/>
      <c r="M180" s="520"/>
      <c r="N180" s="521">
        <f>+N179-N178</f>
        <v>0</v>
      </c>
      <c r="O180" s="3"/>
    </row>
    <row r="181" spans="2:15">
      <c r="C181" s="522"/>
      <c r="D181" s="1210"/>
      <c r="E181" s="1210"/>
      <c r="F181" s="1210"/>
      <c r="G181" s="1210"/>
      <c r="H181" s="1210"/>
      <c r="I181" s="1210"/>
      <c r="J181" s="503"/>
      <c r="K181" s="490"/>
      <c r="L181" s="490"/>
      <c r="M181" s="490"/>
      <c r="N181" s="490"/>
      <c r="O181" s="3"/>
    </row>
    <row r="182" spans="2:15" ht="13.5" thickBot="1">
      <c r="C182" s="522"/>
      <c r="D182" s="3"/>
      <c r="E182" s="524"/>
      <c r="F182" s="524"/>
      <c r="G182" s="524"/>
      <c r="H182" s="524"/>
      <c r="I182" s="524"/>
      <c r="J182" s="524"/>
      <c r="K182" s="524"/>
      <c r="L182" s="524"/>
      <c r="M182" s="524"/>
      <c r="N182" s="524"/>
      <c r="O182" s="3"/>
    </row>
    <row r="183" spans="2:15" ht="13.5" thickBot="1">
      <c r="C183" s="525" t="s">
        <v>97</v>
      </c>
      <c r="D183" s="526"/>
      <c r="E183" s="526"/>
      <c r="F183" s="526"/>
      <c r="G183" s="526"/>
      <c r="H183" s="526"/>
      <c r="I183" s="527"/>
      <c r="K183" s="3"/>
      <c r="L183" s="3"/>
      <c r="M183" s="3"/>
      <c r="N183" s="3"/>
      <c r="O183" s="3"/>
    </row>
    <row r="184" spans="2:15" ht="15">
      <c r="C184" s="528" t="s">
        <v>75</v>
      </c>
      <c r="D184" s="568">
        <v>15264784</v>
      </c>
      <c r="E184" s="3" t="s">
        <v>76</v>
      </c>
      <c r="G184" s="47"/>
      <c r="H184" s="47"/>
      <c r="I184" s="529">
        <f>$L$26</f>
        <v>2025</v>
      </c>
      <c r="J184" s="70"/>
      <c r="K184" s="1211" t="s">
        <v>247</v>
      </c>
      <c r="L184" s="1211"/>
      <c r="M184" s="1211"/>
      <c r="N184" s="1211"/>
      <c r="O184" s="1211"/>
    </row>
    <row r="185" spans="2:15">
      <c r="C185" s="528" t="s">
        <v>78</v>
      </c>
      <c r="D185" s="569">
        <v>2013</v>
      </c>
      <c r="E185" s="528" t="s">
        <v>79</v>
      </c>
      <c r="F185" s="47"/>
      <c r="H185"/>
      <c r="I185" s="570">
        <f>IF(G178="",0,$F$17)</f>
        <v>0</v>
      </c>
      <c r="J185" s="530"/>
      <c r="K185" s="503" t="s">
        <v>247</v>
      </c>
    </row>
    <row r="186" spans="2:15">
      <c r="C186" s="528" t="s">
        <v>80</v>
      </c>
      <c r="D186" s="568">
        <v>6</v>
      </c>
      <c r="E186" s="528" t="s">
        <v>81</v>
      </c>
      <c r="F186" s="47"/>
      <c r="H186"/>
      <c r="I186" s="531">
        <f>$G$70</f>
        <v>0.11032660055737779</v>
      </c>
      <c r="J186" s="489"/>
      <c r="K186" t="str">
        <f>"          INPUT PROJECTED ARR (WITH &amp; WITHOUT INCENTIVES) FROM EACH PRIOR YEAR"</f>
        <v xml:space="preserve">          INPUT PROJECTED ARR (WITH &amp; WITHOUT INCENTIVES) FROM EACH PRIOR YEAR</v>
      </c>
    </row>
    <row r="187" spans="2:15">
      <c r="C187" s="528" t="s">
        <v>82</v>
      </c>
      <c r="D187" s="532">
        <f>$G$79</f>
        <v>36</v>
      </c>
      <c r="E187" s="528" t="s">
        <v>83</v>
      </c>
      <c r="F187" s="47"/>
      <c r="H187"/>
      <c r="I187" s="531">
        <f>IF(G178="",I186,$G$69)</f>
        <v>0.11032660055737779</v>
      </c>
      <c r="J187" s="489"/>
      <c r="K187" t="s">
        <v>160</v>
      </c>
    </row>
    <row r="188" spans="2:15" ht="13.5" thickBot="1">
      <c r="C188" s="528" t="s">
        <v>84</v>
      </c>
      <c r="D188" s="567" t="s">
        <v>812</v>
      </c>
      <c r="E188" s="533" t="s">
        <v>85</v>
      </c>
      <c r="F188" s="534"/>
      <c r="G188" s="535"/>
      <c r="H188" s="535"/>
      <c r="I188" s="521">
        <f>IF(D184=0,0,D184/D187)</f>
        <v>424021.77777777775</v>
      </c>
      <c r="J188" s="503"/>
      <c r="K188" s="503" t="s">
        <v>166</v>
      </c>
      <c r="L188" s="503"/>
      <c r="M188" s="503"/>
      <c r="N188" s="503"/>
      <c r="O188" s="3"/>
    </row>
    <row r="189" spans="2:15" ht="51">
      <c r="B189" s="450"/>
      <c r="C189" s="536" t="s">
        <v>75</v>
      </c>
      <c r="D189" s="537" t="s">
        <v>86</v>
      </c>
      <c r="E189" s="538" t="s">
        <v>87</v>
      </c>
      <c r="F189" s="537" t="s">
        <v>88</v>
      </c>
      <c r="G189" s="538" t="s">
        <v>159</v>
      </c>
      <c r="H189" s="539" t="s">
        <v>159</v>
      </c>
      <c r="I189" s="536" t="s">
        <v>98</v>
      </c>
      <c r="J189" s="540"/>
      <c r="K189" s="538" t="s">
        <v>168</v>
      </c>
      <c r="L189" s="541"/>
      <c r="M189" s="538" t="s">
        <v>168</v>
      </c>
      <c r="N189" s="541"/>
      <c r="O189" s="541"/>
    </row>
    <row r="190" spans="2:15" ht="13.5" thickBot="1">
      <c r="C190" s="542" t="s">
        <v>475</v>
      </c>
      <c r="D190" s="543" t="s">
        <v>476</v>
      </c>
      <c r="E190" s="542" t="s">
        <v>369</v>
      </c>
      <c r="F190" s="543" t="s">
        <v>476</v>
      </c>
      <c r="G190" s="544" t="s">
        <v>101</v>
      </c>
      <c r="H190" s="545" t="s">
        <v>103</v>
      </c>
      <c r="I190" s="542" t="s">
        <v>15</v>
      </c>
      <c r="J190" s="546"/>
      <c r="K190" s="544" t="s">
        <v>90</v>
      </c>
      <c r="L190" s="547"/>
      <c r="M190" s="544" t="s">
        <v>103</v>
      </c>
      <c r="N190" s="547"/>
      <c r="O190" s="547"/>
    </row>
    <row r="191" spans="2:15">
      <c r="C191" s="548">
        <f>IF(D185= "","-",D185)</f>
        <v>2013</v>
      </c>
      <c r="D191" s="506">
        <f>+D184</f>
        <v>15264784</v>
      </c>
      <c r="E191" s="549">
        <f>+I188/12*(12-D186)</f>
        <v>212010.88888888888</v>
      </c>
      <c r="F191" s="506">
        <f>+D191-E191</f>
        <v>15052773.111111112</v>
      </c>
      <c r="G191" s="731">
        <f>+$I$96*((D191+F191)/2)+E191</f>
        <v>1884427.3955254112</v>
      </c>
      <c r="H191" s="732">
        <f>$I$97*((D191+F191)/2)+E191</f>
        <v>1884427.3955254112</v>
      </c>
      <c r="I191" s="552">
        <f>+H191-G191</f>
        <v>0</v>
      </c>
      <c r="J191" s="552"/>
      <c r="K191" s="571">
        <v>1578782</v>
      </c>
      <c r="L191" s="553"/>
      <c r="M191" s="571">
        <v>1578782</v>
      </c>
      <c r="N191" s="553"/>
      <c r="O191" s="553"/>
    </row>
    <row r="192" spans="2:15">
      <c r="C192" s="548">
        <f>IF(D185="","-",+C191+1)</f>
        <v>2014</v>
      </c>
      <c r="D192" s="506">
        <f t="shared" ref="D192:D250" si="6">F191</f>
        <v>15052773.111111112</v>
      </c>
      <c r="E192" s="549">
        <f>IF(D192&gt;$I$188,$I$188,D192)</f>
        <v>424021.77777777775</v>
      </c>
      <c r="F192" s="506">
        <f t="shared" ref="F192:F250" si="7">+D192-E192</f>
        <v>14628751.333333334</v>
      </c>
      <c r="G192" s="554">
        <f t="shared" ref="G192:G250" si="8">+$I$96*((D192+F192)/2)+E192</f>
        <v>2061352.6234359115</v>
      </c>
      <c r="H192" s="555">
        <f t="shared" ref="H192:H250" si="9">$I$97*((D192+F192)/2)+E192</f>
        <v>2061352.6234359115</v>
      </c>
      <c r="I192" s="552">
        <f t="shared" ref="I192:I250" si="10">+H192-G192</f>
        <v>0</v>
      </c>
      <c r="J192" s="552"/>
      <c r="K192" s="572">
        <v>1735811</v>
      </c>
      <c r="L192" s="556"/>
      <c r="M192" s="572">
        <v>1735811</v>
      </c>
      <c r="N192" s="556"/>
      <c r="O192" s="556"/>
    </row>
    <row r="193" spans="3:15">
      <c r="C193" s="548">
        <f>IF(D185="","-",+C192+1)</f>
        <v>2015</v>
      </c>
      <c r="D193" s="506">
        <f t="shared" si="6"/>
        <v>14628751.333333334</v>
      </c>
      <c r="E193" s="549">
        <f t="shared" ref="E193:E250" si="11">IF(D193&gt;$I$188,$I$188,D193)</f>
        <v>424021.77777777775</v>
      </c>
      <c r="F193" s="506">
        <f t="shared" si="7"/>
        <v>14204729.555555556</v>
      </c>
      <c r="G193" s="554">
        <f t="shared" si="8"/>
        <v>2014571.7421313932</v>
      </c>
      <c r="H193" s="555">
        <f t="shared" si="9"/>
        <v>2014571.7421313932</v>
      </c>
      <c r="I193" s="552">
        <f t="shared" si="10"/>
        <v>0</v>
      </c>
      <c r="J193" s="552"/>
      <c r="K193" s="572">
        <v>1857418</v>
      </c>
      <c r="L193" s="556"/>
      <c r="M193" s="572">
        <v>1857418</v>
      </c>
      <c r="N193" s="556"/>
      <c r="O193" s="556"/>
    </row>
    <row r="194" spans="3:15">
      <c r="C194" s="548">
        <f>IF(D185="","-",+C193+1)</f>
        <v>2016</v>
      </c>
      <c r="D194" s="506">
        <f t="shared" si="6"/>
        <v>14204729.555555556</v>
      </c>
      <c r="E194" s="549">
        <f t="shared" si="11"/>
        <v>424021.77777777775</v>
      </c>
      <c r="F194" s="506">
        <f t="shared" si="7"/>
        <v>13780707.777777778</v>
      </c>
      <c r="G194" s="554">
        <f t="shared" si="8"/>
        <v>1967790.8608268753</v>
      </c>
      <c r="H194" s="555">
        <f t="shared" si="9"/>
        <v>1967790.8608268753</v>
      </c>
      <c r="I194" s="552">
        <f t="shared" si="10"/>
        <v>0</v>
      </c>
      <c r="J194" s="552"/>
      <c r="K194" s="572">
        <v>1808629</v>
      </c>
      <c r="L194" s="556"/>
      <c r="M194" s="572">
        <v>1808629</v>
      </c>
      <c r="N194" s="556"/>
      <c r="O194" s="556"/>
    </row>
    <row r="195" spans="3:15">
      <c r="C195" s="548">
        <f>IF(D185="","-",+C194+1)</f>
        <v>2017</v>
      </c>
      <c r="D195" s="506">
        <f t="shared" si="6"/>
        <v>13780707.777777778</v>
      </c>
      <c r="E195" s="549">
        <f t="shared" si="11"/>
        <v>424021.77777777775</v>
      </c>
      <c r="F195" s="506">
        <f t="shared" si="7"/>
        <v>13356686</v>
      </c>
      <c r="G195" s="554">
        <f t="shared" si="8"/>
        <v>1921009.979522357</v>
      </c>
      <c r="H195" s="555">
        <f t="shared" si="9"/>
        <v>1921009.979522357</v>
      </c>
      <c r="I195" s="552">
        <f t="shared" si="10"/>
        <v>0</v>
      </c>
      <c r="J195" s="552"/>
      <c r="K195" s="572">
        <v>1924179</v>
      </c>
      <c r="L195" s="556"/>
      <c r="M195" s="572">
        <v>1924179</v>
      </c>
      <c r="N195" s="556"/>
      <c r="O195" s="556"/>
    </row>
    <row r="196" spans="3:15">
      <c r="C196" s="966">
        <f>IF(D185="","-",+C195+1)</f>
        <v>2018</v>
      </c>
      <c r="D196" s="506">
        <f t="shared" si="6"/>
        <v>13356686</v>
      </c>
      <c r="E196" s="549">
        <f t="shared" si="11"/>
        <v>424021.77777777775</v>
      </c>
      <c r="F196" s="506">
        <f t="shared" si="7"/>
        <v>12932664.222222222</v>
      </c>
      <c r="G196" s="554">
        <f t="shared" si="8"/>
        <v>1874229.0982178389</v>
      </c>
      <c r="H196" s="555">
        <f t="shared" si="9"/>
        <v>1874229.0982178389</v>
      </c>
      <c r="I196" s="552">
        <f t="shared" si="10"/>
        <v>0</v>
      </c>
      <c r="J196" s="552"/>
      <c r="K196" s="572">
        <v>1648242</v>
      </c>
      <c r="L196" s="556"/>
      <c r="M196" s="572">
        <v>1648242</v>
      </c>
      <c r="N196" s="556"/>
      <c r="O196" s="556"/>
    </row>
    <row r="197" spans="3:15">
      <c r="C197" s="956">
        <f>IF(D185="","-",+C196+1)</f>
        <v>2019</v>
      </c>
      <c r="D197" s="506">
        <f t="shared" si="6"/>
        <v>12932664.222222222</v>
      </c>
      <c r="E197" s="549">
        <f t="shared" si="11"/>
        <v>424021.77777777775</v>
      </c>
      <c r="F197" s="506">
        <f t="shared" si="7"/>
        <v>12508642.444444444</v>
      </c>
      <c r="G197" s="554">
        <f t="shared" si="8"/>
        <v>1827448.2169133206</v>
      </c>
      <c r="H197" s="555">
        <f t="shared" si="9"/>
        <v>1827448.2169133206</v>
      </c>
      <c r="I197" s="552">
        <f t="shared" si="10"/>
        <v>0</v>
      </c>
      <c r="J197" s="552"/>
      <c r="K197" s="572"/>
      <c r="L197" s="556"/>
      <c r="M197" s="572"/>
      <c r="N197" s="556"/>
      <c r="O197" s="556"/>
    </row>
    <row r="198" spans="3:15">
      <c r="C198" s="548">
        <f>IF(D185="","-",+C197+1)</f>
        <v>2020</v>
      </c>
      <c r="D198" s="506">
        <f t="shared" si="6"/>
        <v>12508642.444444444</v>
      </c>
      <c r="E198" s="549">
        <f t="shared" si="11"/>
        <v>424021.77777777775</v>
      </c>
      <c r="F198" s="506">
        <f t="shared" si="7"/>
        <v>12084620.666666666</v>
      </c>
      <c r="G198" s="554">
        <f t="shared" si="8"/>
        <v>1780667.3356088027</v>
      </c>
      <c r="H198" s="555">
        <f t="shared" si="9"/>
        <v>1780667.3356088027</v>
      </c>
      <c r="I198" s="552">
        <f t="shared" si="10"/>
        <v>0</v>
      </c>
      <c r="J198" s="552"/>
      <c r="K198" s="572"/>
      <c r="L198" s="556"/>
      <c r="M198" s="572"/>
      <c r="N198" s="556"/>
      <c r="O198" s="556"/>
    </row>
    <row r="199" spans="3:15">
      <c r="C199" s="548">
        <f>IF(D185="","-",+C198+1)</f>
        <v>2021</v>
      </c>
      <c r="D199" s="506">
        <f t="shared" si="6"/>
        <v>12084620.666666666</v>
      </c>
      <c r="E199" s="549">
        <f t="shared" si="11"/>
        <v>424021.77777777775</v>
      </c>
      <c r="F199" s="506">
        <f t="shared" si="7"/>
        <v>11660598.888888888</v>
      </c>
      <c r="G199" s="554">
        <f t="shared" si="8"/>
        <v>1733886.4543042844</v>
      </c>
      <c r="H199" s="555">
        <f t="shared" si="9"/>
        <v>1733886.4543042844</v>
      </c>
      <c r="I199" s="552">
        <f t="shared" si="10"/>
        <v>0</v>
      </c>
      <c r="J199" s="552"/>
      <c r="K199" s="572"/>
      <c r="L199" s="556"/>
      <c r="M199" s="572"/>
      <c r="N199" s="556"/>
      <c r="O199" s="556"/>
    </row>
    <row r="200" spans="3:15">
      <c r="C200" s="548">
        <f>IF(D185="","-",+C199+1)</f>
        <v>2022</v>
      </c>
      <c r="D200" s="506">
        <f t="shared" si="6"/>
        <v>11660598.888888888</v>
      </c>
      <c r="E200" s="549">
        <f t="shared" si="11"/>
        <v>424021.77777777775</v>
      </c>
      <c r="F200" s="506">
        <f t="shared" si="7"/>
        <v>11236577.11111111</v>
      </c>
      <c r="G200" s="554">
        <f t="shared" si="8"/>
        <v>1687105.5729997666</v>
      </c>
      <c r="H200" s="555">
        <f t="shared" si="9"/>
        <v>1687105.5729997666</v>
      </c>
      <c r="I200" s="552">
        <f t="shared" si="10"/>
        <v>0</v>
      </c>
      <c r="J200" s="552"/>
      <c r="K200" s="572"/>
      <c r="L200" s="556"/>
      <c r="M200" s="572"/>
      <c r="N200" s="556"/>
      <c r="O200" s="556"/>
    </row>
    <row r="201" spans="3:15">
      <c r="C201" s="548">
        <f>IF(D185="","-",+C200+1)</f>
        <v>2023</v>
      </c>
      <c r="D201" s="506">
        <f t="shared" si="6"/>
        <v>11236577.11111111</v>
      </c>
      <c r="E201" s="549">
        <f t="shared" si="11"/>
        <v>424021.77777777775</v>
      </c>
      <c r="F201" s="506">
        <f t="shared" si="7"/>
        <v>10812555.333333332</v>
      </c>
      <c r="G201" s="554">
        <f t="shared" si="8"/>
        <v>1640324.6916952482</v>
      </c>
      <c r="H201" s="555">
        <f t="shared" si="9"/>
        <v>1640324.6916952482</v>
      </c>
      <c r="I201" s="552">
        <f t="shared" si="10"/>
        <v>0</v>
      </c>
      <c r="J201" s="552"/>
      <c r="K201" s="572"/>
      <c r="L201" s="556"/>
      <c r="M201" s="572"/>
      <c r="N201" s="556"/>
      <c r="O201" s="556"/>
    </row>
    <row r="202" spans="3:15">
      <c r="C202" s="548">
        <f>IF(D185="","-",+C201+1)</f>
        <v>2024</v>
      </c>
      <c r="D202" s="506">
        <f t="shared" si="6"/>
        <v>10812555.333333332</v>
      </c>
      <c r="E202" s="549">
        <f t="shared" si="11"/>
        <v>424021.77777777775</v>
      </c>
      <c r="F202" s="506">
        <f t="shared" si="7"/>
        <v>10388533.555555554</v>
      </c>
      <c r="G202" s="554">
        <f t="shared" si="8"/>
        <v>1593543.8103907302</v>
      </c>
      <c r="H202" s="555">
        <f t="shared" si="9"/>
        <v>1593543.8103907302</v>
      </c>
      <c r="I202" s="552">
        <f t="shared" si="10"/>
        <v>0</v>
      </c>
      <c r="J202" s="552"/>
      <c r="K202" s="572"/>
      <c r="L202" s="556"/>
      <c r="M202" s="572"/>
      <c r="N202" s="556"/>
      <c r="O202" s="556"/>
    </row>
    <row r="203" spans="3:15">
      <c r="C203" s="548">
        <f>IF(D185="","-",+C202+1)</f>
        <v>2025</v>
      </c>
      <c r="D203" s="506">
        <f t="shared" si="6"/>
        <v>10388533.555555554</v>
      </c>
      <c r="E203" s="549">
        <f t="shared" si="11"/>
        <v>424021.77777777775</v>
      </c>
      <c r="F203" s="506">
        <f t="shared" si="7"/>
        <v>9964511.7777777761</v>
      </c>
      <c r="G203" s="554">
        <f t="shared" si="8"/>
        <v>1546762.9290862118</v>
      </c>
      <c r="H203" s="555">
        <f t="shared" si="9"/>
        <v>1546762.9290862118</v>
      </c>
      <c r="I203" s="552">
        <f t="shared" si="10"/>
        <v>0</v>
      </c>
      <c r="J203" s="552"/>
      <c r="K203" s="572"/>
      <c r="L203" s="556"/>
      <c r="M203" s="572"/>
      <c r="N203" s="557"/>
      <c r="O203" s="556"/>
    </row>
    <row r="204" spans="3:15">
      <c r="C204" s="548">
        <f>IF(D185="","-",+C203+1)</f>
        <v>2026</v>
      </c>
      <c r="D204" s="506">
        <f t="shared" si="6"/>
        <v>9964511.7777777761</v>
      </c>
      <c r="E204" s="549">
        <f t="shared" si="11"/>
        <v>424021.77777777775</v>
      </c>
      <c r="F204" s="506">
        <f t="shared" si="7"/>
        <v>9540489.9999999981</v>
      </c>
      <c r="G204" s="554">
        <f t="shared" si="8"/>
        <v>1499982.047781694</v>
      </c>
      <c r="H204" s="555">
        <f t="shared" si="9"/>
        <v>1499982.047781694</v>
      </c>
      <c r="I204" s="552">
        <f t="shared" si="10"/>
        <v>0</v>
      </c>
      <c r="J204" s="552"/>
      <c r="K204" s="572"/>
      <c r="L204" s="556"/>
      <c r="M204" s="572"/>
      <c r="N204" s="556"/>
      <c r="O204" s="556"/>
    </row>
    <row r="205" spans="3:15">
      <c r="C205" s="548">
        <f>IF(D185="","-",+C204+1)</f>
        <v>2027</v>
      </c>
      <c r="D205" s="506">
        <f t="shared" si="6"/>
        <v>9540489.9999999981</v>
      </c>
      <c r="E205" s="549">
        <f t="shared" si="11"/>
        <v>424021.77777777775</v>
      </c>
      <c r="F205" s="506">
        <f t="shared" si="7"/>
        <v>9116468.2222222202</v>
      </c>
      <c r="G205" s="554">
        <f t="shared" si="8"/>
        <v>1453201.1664771757</v>
      </c>
      <c r="H205" s="555">
        <f t="shared" si="9"/>
        <v>1453201.1664771757</v>
      </c>
      <c r="I205" s="552">
        <f t="shared" si="10"/>
        <v>0</v>
      </c>
      <c r="J205" s="552"/>
      <c r="K205" s="572"/>
      <c r="L205" s="556"/>
      <c r="M205" s="572"/>
      <c r="N205" s="556"/>
      <c r="O205" s="556"/>
    </row>
    <row r="206" spans="3:15">
      <c r="C206" s="548">
        <f>IF(D185="","-",+C205+1)</f>
        <v>2028</v>
      </c>
      <c r="D206" s="506">
        <f t="shared" si="6"/>
        <v>9116468.2222222202</v>
      </c>
      <c r="E206" s="549">
        <f t="shared" si="11"/>
        <v>424021.77777777775</v>
      </c>
      <c r="F206" s="506">
        <f t="shared" si="7"/>
        <v>8692446.4444444422</v>
      </c>
      <c r="G206" s="554">
        <f t="shared" si="8"/>
        <v>1406420.2851726576</v>
      </c>
      <c r="H206" s="555">
        <f t="shared" si="9"/>
        <v>1406420.2851726576</v>
      </c>
      <c r="I206" s="552">
        <f t="shared" si="10"/>
        <v>0</v>
      </c>
      <c r="J206" s="552"/>
      <c r="K206" s="572"/>
      <c r="L206" s="556"/>
      <c r="M206" s="572"/>
      <c r="N206" s="556"/>
      <c r="O206" s="556"/>
    </row>
    <row r="207" spans="3:15">
      <c r="C207" s="548">
        <f>IF(D185="","-",+C206+1)</f>
        <v>2029</v>
      </c>
      <c r="D207" s="506">
        <f t="shared" si="6"/>
        <v>8692446.4444444422</v>
      </c>
      <c r="E207" s="549">
        <f t="shared" si="11"/>
        <v>424021.77777777775</v>
      </c>
      <c r="F207" s="506">
        <f t="shared" si="7"/>
        <v>8268424.6666666642</v>
      </c>
      <c r="G207" s="554">
        <f t="shared" si="8"/>
        <v>1359639.4038681393</v>
      </c>
      <c r="H207" s="555">
        <f t="shared" si="9"/>
        <v>1359639.4038681393</v>
      </c>
      <c r="I207" s="552">
        <f t="shared" si="10"/>
        <v>0</v>
      </c>
      <c r="J207" s="552"/>
      <c r="K207" s="572"/>
      <c r="L207" s="556"/>
      <c r="M207" s="572"/>
      <c r="N207" s="556"/>
      <c r="O207" s="556"/>
    </row>
    <row r="208" spans="3:15">
      <c r="C208" s="548">
        <f>IF(D185="","-",+C207+1)</f>
        <v>2030</v>
      </c>
      <c r="D208" s="506">
        <f t="shared" si="6"/>
        <v>8268424.6666666642</v>
      </c>
      <c r="E208" s="549">
        <f t="shared" si="11"/>
        <v>424021.77777777775</v>
      </c>
      <c r="F208" s="506">
        <f t="shared" si="7"/>
        <v>7844402.8888888862</v>
      </c>
      <c r="G208" s="554">
        <f t="shared" si="8"/>
        <v>1312858.5225636214</v>
      </c>
      <c r="H208" s="555">
        <f t="shared" si="9"/>
        <v>1312858.5225636214</v>
      </c>
      <c r="I208" s="552">
        <f t="shared" si="10"/>
        <v>0</v>
      </c>
      <c r="J208" s="552"/>
      <c r="K208" s="572"/>
      <c r="L208" s="556"/>
      <c r="M208" s="572"/>
      <c r="N208" s="556"/>
      <c r="O208" s="556"/>
    </row>
    <row r="209" spans="3:15">
      <c r="C209" s="548">
        <f>IF(D185="","-",+C208+1)</f>
        <v>2031</v>
      </c>
      <c r="D209" s="506">
        <f t="shared" si="6"/>
        <v>7844402.8888888862</v>
      </c>
      <c r="E209" s="549">
        <f t="shared" si="11"/>
        <v>424021.77777777775</v>
      </c>
      <c r="F209" s="506">
        <f t="shared" si="7"/>
        <v>7420381.1111111082</v>
      </c>
      <c r="G209" s="554">
        <f t="shared" si="8"/>
        <v>1266077.6412591031</v>
      </c>
      <c r="H209" s="555">
        <f t="shared" si="9"/>
        <v>1266077.6412591031</v>
      </c>
      <c r="I209" s="552">
        <f t="shared" si="10"/>
        <v>0</v>
      </c>
      <c r="J209" s="552"/>
      <c r="K209" s="572"/>
      <c r="L209" s="556"/>
      <c r="M209" s="572"/>
      <c r="N209" s="556"/>
      <c r="O209" s="556"/>
    </row>
    <row r="210" spans="3:15">
      <c r="C210" s="548">
        <f>IF(D185="","-",+C209+1)</f>
        <v>2032</v>
      </c>
      <c r="D210" s="506">
        <f t="shared" si="6"/>
        <v>7420381.1111111082</v>
      </c>
      <c r="E210" s="549">
        <f t="shared" si="11"/>
        <v>424021.77777777775</v>
      </c>
      <c r="F210" s="506">
        <f t="shared" si="7"/>
        <v>6996359.3333333302</v>
      </c>
      <c r="G210" s="554">
        <f t="shared" si="8"/>
        <v>1219296.7599545852</v>
      </c>
      <c r="H210" s="555">
        <f t="shared" si="9"/>
        <v>1219296.7599545852</v>
      </c>
      <c r="I210" s="552">
        <f t="shared" si="10"/>
        <v>0</v>
      </c>
      <c r="J210" s="552"/>
      <c r="K210" s="572"/>
      <c r="L210" s="556"/>
      <c r="M210" s="572"/>
      <c r="N210" s="556"/>
      <c r="O210" s="556"/>
    </row>
    <row r="211" spans="3:15">
      <c r="C211" s="548">
        <f>IF(D185="","-",+C210+1)</f>
        <v>2033</v>
      </c>
      <c r="D211" s="506">
        <f t="shared" si="6"/>
        <v>6996359.3333333302</v>
      </c>
      <c r="E211" s="549">
        <f t="shared" si="11"/>
        <v>424021.77777777775</v>
      </c>
      <c r="F211" s="506">
        <f t="shared" si="7"/>
        <v>6572337.5555555522</v>
      </c>
      <c r="G211" s="554">
        <f t="shared" si="8"/>
        <v>1172515.8786500669</v>
      </c>
      <c r="H211" s="555">
        <f t="shared" si="9"/>
        <v>1172515.8786500669</v>
      </c>
      <c r="I211" s="552">
        <f t="shared" si="10"/>
        <v>0</v>
      </c>
      <c r="J211" s="552"/>
      <c r="K211" s="572"/>
      <c r="L211" s="556"/>
      <c r="M211" s="572"/>
      <c r="N211" s="556"/>
      <c r="O211" s="556"/>
    </row>
    <row r="212" spans="3:15">
      <c r="C212" s="548">
        <f>IF(D185="","-",+C211+1)</f>
        <v>2034</v>
      </c>
      <c r="D212" s="506">
        <f t="shared" si="6"/>
        <v>6572337.5555555522</v>
      </c>
      <c r="E212" s="549">
        <f t="shared" si="11"/>
        <v>424021.77777777775</v>
      </c>
      <c r="F212" s="506">
        <f t="shared" si="7"/>
        <v>6148315.7777777743</v>
      </c>
      <c r="G212" s="554">
        <f t="shared" si="8"/>
        <v>1125734.9973455491</v>
      </c>
      <c r="H212" s="555">
        <f t="shared" si="9"/>
        <v>1125734.9973455491</v>
      </c>
      <c r="I212" s="552">
        <f t="shared" si="10"/>
        <v>0</v>
      </c>
      <c r="J212" s="552"/>
      <c r="K212" s="572"/>
      <c r="L212" s="556"/>
      <c r="M212" s="572"/>
      <c r="N212" s="556"/>
      <c r="O212" s="556"/>
    </row>
    <row r="213" spans="3:15">
      <c r="C213" s="548">
        <f>IF(D185="","-",+C212+1)</f>
        <v>2035</v>
      </c>
      <c r="D213" s="506">
        <f t="shared" si="6"/>
        <v>6148315.7777777743</v>
      </c>
      <c r="E213" s="549">
        <f t="shared" si="11"/>
        <v>424021.77777777775</v>
      </c>
      <c r="F213" s="506">
        <f t="shared" si="7"/>
        <v>5724293.9999999963</v>
      </c>
      <c r="G213" s="554">
        <f t="shared" si="8"/>
        <v>1078954.1160410307</v>
      </c>
      <c r="H213" s="555">
        <f t="shared" si="9"/>
        <v>1078954.1160410307</v>
      </c>
      <c r="I213" s="552">
        <f t="shared" si="10"/>
        <v>0</v>
      </c>
      <c r="J213" s="552"/>
      <c r="K213" s="572"/>
      <c r="L213" s="556"/>
      <c r="M213" s="572"/>
      <c r="N213" s="556"/>
      <c r="O213" s="556"/>
    </row>
    <row r="214" spans="3:15">
      <c r="C214" s="548">
        <f>IF(D185="","-",+C213+1)</f>
        <v>2036</v>
      </c>
      <c r="D214" s="506">
        <f t="shared" si="6"/>
        <v>5724293.9999999963</v>
      </c>
      <c r="E214" s="549">
        <f t="shared" si="11"/>
        <v>424021.77777777775</v>
      </c>
      <c r="F214" s="506">
        <f t="shared" si="7"/>
        <v>5300272.2222222183</v>
      </c>
      <c r="G214" s="554">
        <f t="shared" si="8"/>
        <v>1032173.2347365126</v>
      </c>
      <c r="H214" s="555">
        <f t="shared" si="9"/>
        <v>1032173.2347365126</v>
      </c>
      <c r="I214" s="552">
        <f t="shared" si="10"/>
        <v>0</v>
      </c>
      <c r="J214" s="552"/>
      <c r="K214" s="572"/>
      <c r="L214" s="556"/>
      <c r="M214" s="572"/>
      <c r="N214" s="556"/>
      <c r="O214" s="556"/>
    </row>
    <row r="215" spans="3:15">
      <c r="C215" s="548">
        <f>IF(D185="","-",+C214+1)</f>
        <v>2037</v>
      </c>
      <c r="D215" s="506">
        <f t="shared" si="6"/>
        <v>5300272.2222222183</v>
      </c>
      <c r="E215" s="549">
        <f t="shared" si="11"/>
        <v>424021.77777777775</v>
      </c>
      <c r="F215" s="506">
        <f t="shared" si="7"/>
        <v>4876250.4444444403</v>
      </c>
      <c r="G215" s="554">
        <f t="shared" si="8"/>
        <v>985392.35343199456</v>
      </c>
      <c r="H215" s="555">
        <f t="shared" si="9"/>
        <v>985392.35343199456</v>
      </c>
      <c r="I215" s="552">
        <f t="shared" si="10"/>
        <v>0</v>
      </c>
      <c r="J215" s="552"/>
      <c r="K215" s="572"/>
      <c r="L215" s="556"/>
      <c r="M215" s="572"/>
      <c r="N215" s="556"/>
      <c r="O215" s="556"/>
    </row>
    <row r="216" spans="3:15">
      <c r="C216" s="548">
        <f>IF(D185="","-",+C215+1)</f>
        <v>2038</v>
      </c>
      <c r="D216" s="506">
        <f t="shared" si="6"/>
        <v>4876250.4444444403</v>
      </c>
      <c r="E216" s="549">
        <f t="shared" si="11"/>
        <v>424021.77777777775</v>
      </c>
      <c r="F216" s="506">
        <f t="shared" si="7"/>
        <v>4452228.6666666623</v>
      </c>
      <c r="G216" s="554">
        <f t="shared" si="8"/>
        <v>938611.47212747647</v>
      </c>
      <c r="H216" s="555">
        <f t="shared" si="9"/>
        <v>938611.47212747647</v>
      </c>
      <c r="I216" s="552">
        <f t="shared" si="10"/>
        <v>0</v>
      </c>
      <c r="J216" s="552"/>
      <c r="K216" s="572"/>
      <c r="L216" s="556"/>
      <c r="M216" s="572"/>
      <c r="N216" s="556"/>
      <c r="O216" s="556"/>
    </row>
    <row r="217" spans="3:15">
      <c r="C217" s="548">
        <f>IF(D185="","-",+C216+1)</f>
        <v>2039</v>
      </c>
      <c r="D217" s="506">
        <f t="shared" si="6"/>
        <v>4452228.6666666623</v>
      </c>
      <c r="E217" s="549">
        <f t="shared" si="11"/>
        <v>424021.77777777775</v>
      </c>
      <c r="F217" s="506">
        <f t="shared" si="7"/>
        <v>4028206.8888888843</v>
      </c>
      <c r="G217" s="554">
        <f t="shared" si="8"/>
        <v>891830.59082295827</v>
      </c>
      <c r="H217" s="555">
        <f t="shared" si="9"/>
        <v>891830.59082295827</v>
      </c>
      <c r="I217" s="552">
        <f t="shared" si="10"/>
        <v>0</v>
      </c>
      <c r="J217" s="552"/>
      <c r="K217" s="572"/>
      <c r="L217" s="556"/>
      <c r="M217" s="572"/>
      <c r="N217" s="556"/>
      <c r="O217" s="556"/>
    </row>
    <row r="218" spans="3:15">
      <c r="C218" s="548">
        <f>IF(D185="","-",+C217+1)</f>
        <v>2040</v>
      </c>
      <c r="D218" s="506">
        <f t="shared" si="6"/>
        <v>4028206.8888888843</v>
      </c>
      <c r="E218" s="549">
        <f t="shared" si="11"/>
        <v>424021.77777777775</v>
      </c>
      <c r="F218" s="506">
        <f t="shared" si="7"/>
        <v>3604185.1111111064</v>
      </c>
      <c r="G218" s="554">
        <f t="shared" si="8"/>
        <v>845049.70951844007</v>
      </c>
      <c r="H218" s="555">
        <f t="shared" si="9"/>
        <v>845049.70951844007</v>
      </c>
      <c r="I218" s="552">
        <f t="shared" si="10"/>
        <v>0</v>
      </c>
      <c r="J218" s="552"/>
      <c r="K218" s="572"/>
      <c r="L218" s="556"/>
      <c r="M218" s="572"/>
      <c r="N218" s="556"/>
      <c r="O218" s="556"/>
    </row>
    <row r="219" spans="3:15">
      <c r="C219" s="548">
        <f>IF(D185="","-",+C218+1)</f>
        <v>2041</v>
      </c>
      <c r="D219" s="506">
        <f t="shared" si="6"/>
        <v>3604185.1111111064</v>
      </c>
      <c r="E219" s="549">
        <f t="shared" si="11"/>
        <v>424021.77777777775</v>
      </c>
      <c r="F219" s="506">
        <f t="shared" si="7"/>
        <v>3180163.3333333284</v>
      </c>
      <c r="G219" s="550">
        <f t="shared" si="8"/>
        <v>798268.82821392198</v>
      </c>
      <c r="H219" s="555">
        <f t="shared" si="9"/>
        <v>798268.82821392198</v>
      </c>
      <c r="I219" s="552">
        <f t="shared" si="10"/>
        <v>0</v>
      </c>
      <c r="J219" s="552"/>
      <c r="K219" s="572"/>
      <c r="L219" s="556"/>
      <c r="M219" s="572"/>
      <c r="N219" s="556"/>
      <c r="O219" s="556"/>
    </row>
    <row r="220" spans="3:15">
      <c r="C220" s="548">
        <f>IF(D185="","-",+C219+1)</f>
        <v>2042</v>
      </c>
      <c r="D220" s="506">
        <f t="shared" si="6"/>
        <v>3180163.3333333284</v>
      </c>
      <c r="E220" s="549">
        <f t="shared" si="11"/>
        <v>424021.77777777775</v>
      </c>
      <c r="F220" s="506">
        <f t="shared" si="7"/>
        <v>2756141.5555555504</v>
      </c>
      <c r="G220" s="554">
        <f t="shared" si="8"/>
        <v>751487.94690940389</v>
      </c>
      <c r="H220" s="555">
        <f t="shared" si="9"/>
        <v>751487.94690940389</v>
      </c>
      <c r="I220" s="552">
        <f t="shared" si="10"/>
        <v>0</v>
      </c>
      <c r="J220" s="552"/>
      <c r="K220" s="572"/>
      <c r="L220" s="556"/>
      <c r="M220" s="572"/>
      <c r="N220" s="556"/>
      <c r="O220" s="556"/>
    </row>
    <row r="221" spans="3:15">
      <c r="C221" s="548">
        <f>IF(D185="","-",+C220+1)</f>
        <v>2043</v>
      </c>
      <c r="D221" s="506">
        <f t="shared" si="6"/>
        <v>2756141.5555555504</v>
      </c>
      <c r="E221" s="549">
        <f t="shared" si="11"/>
        <v>424021.77777777775</v>
      </c>
      <c r="F221" s="506">
        <f t="shared" si="7"/>
        <v>2332119.7777777724</v>
      </c>
      <c r="G221" s="554">
        <f t="shared" si="8"/>
        <v>704707.06560488581</v>
      </c>
      <c r="H221" s="555">
        <f t="shared" si="9"/>
        <v>704707.06560488581</v>
      </c>
      <c r="I221" s="552">
        <f t="shared" si="10"/>
        <v>0</v>
      </c>
      <c r="J221" s="552"/>
      <c r="K221" s="572"/>
      <c r="L221" s="556"/>
      <c r="M221" s="572"/>
      <c r="N221" s="556"/>
      <c r="O221" s="556"/>
    </row>
    <row r="222" spans="3:15">
      <c r="C222" s="548">
        <f>IF(D185="","-",+C221+1)</f>
        <v>2044</v>
      </c>
      <c r="D222" s="506">
        <f t="shared" si="6"/>
        <v>2332119.7777777724</v>
      </c>
      <c r="E222" s="549">
        <f t="shared" si="11"/>
        <v>424021.77777777775</v>
      </c>
      <c r="F222" s="506">
        <f t="shared" si="7"/>
        <v>1908097.9999999946</v>
      </c>
      <c r="G222" s="554">
        <f t="shared" si="8"/>
        <v>657926.18430036772</v>
      </c>
      <c r="H222" s="555">
        <f t="shared" si="9"/>
        <v>657926.18430036772</v>
      </c>
      <c r="I222" s="552">
        <f t="shared" si="10"/>
        <v>0</v>
      </c>
      <c r="J222" s="552"/>
      <c r="K222" s="572"/>
      <c r="L222" s="556"/>
      <c r="M222" s="572"/>
      <c r="N222" s="556"/>
      <c r="O222" s="556"/>
    </row>
    <row r="223" spans="3:15">
      <c r="C223" s="548">
        <f>IF(D185="","-",+C222+1)</f>
        <v>2045</v>
      </c>
      <c r="D223" s="506">
        <f t="shared" si="6"/>
        <v>1908097.9999999946</v>
      </c>
      <c r="E223" s="549">
        <f t="shared" si="11"/>
        <v>424021.77777777775</v>
      </c>
      <c r="F223" s="506">
        <f t="shared" si="7"/>
        <v>1484076.2222222169</v>
      </c>
      <c r="G223" s="554">
        <f t="shared" si="8"/>
        <v>611145.30299584963</v>
      </c>
      <c r="H223" s="555">
        <f t="shared" si="9"/>
        <v>611145.30299584963</v>
      </c>
      <c r="I223" s="552">
        <f t="shared" si="10"/>
        <v>0</v>
      </c>
      <c r="J223" s="552"/>
      <c r="K223" s="572"/>
      <c r="L223" s="556"/>
      <c r="M223" s="572"/>
      <c r="N223" s="556"/>
      <c r="O223" s="556"/>
    </row>
    <row r="224" spans="3:15">
      <c r="C224" s="548">
        <f>IF(D185="","-",+C223+1)</f>
        <v>2046</v>
      </c>
      <c r="D224" s="506">
        <f t="shared" si="6"/>
        <v>1484076.2222222169</v>
      </c>
      <c r="E224" s="549">
        <f t="shared" si="11"/>
        <v>424021.77777777775</v>
      </c>
      <c r="F224" s="506">
        <f t="shared" si="7"/>
        <v>1060054.4444444391</v>
      </c>
      <c r="G224" s="554">
        <f t="shared" si="8"/>
        <v>564364.42169133143</v>
      </c>
      <c r="H224" s="555">
        <f t="shared" si="9"/>
        <v>564364.42169133143</v>
      </c>
      <c r="I224" s="552">
        <f t="shared" si="10"/>
        <v>0</v>
      </c>
      <c r="J224" s="552"/>
      <c r="K224" s="572"/>
      <c r="L224" s="556"/>
      <c r="M224" s="572"/>
      <c r="N224" s="556"/>
      <c r="O224" s="556"/>
    </row>
    <row r="225" spans="3:15">
      <c r="C225" s="548">
        <f>IF(D185="","-",+C224+1)</f>
        <v>2047</v>
      </c>
      <c r="D225" s="506">
        <f t="shared" si="6"/>
        <v>1060054.4444444391</v>
      </c>
      <c r="E225" s="549">
        <f t="shared" si="11"/>
        <v>424021.77777777775</v>
      </c>
      <c r="F225" s="506">
        <f t="shared" si="7"/>
        <v>636032.66666666139</v>
      </c>
      <c r="G225" s="554">
        <f t="shared" si="8"/>
        <v>517583.54038681334</v>
      </c>
      <c r="H225" s="555">
        <f t="shared" si="9"/>
        <v>517583.54038681334</v>
      </c>
      <c r="I225" s="552">
        <f t="shared" si="10"/>
        <v>0</v>
      </c>
      <c r="J225" s="552"/>
      <c r="K225" s="572"/>
      <c r="L225" s="556"/>
      <c r="M225" s="572"/>
      <c r="N225" s="556"/>
      <c r="O225" s="556"/>
    </row>
    <row r="226" spans="3:15">
      <c r="C226" s="548">
        <f>IF(D185="","-",+C225+1)</f>
        <v>2048</v>
      </c>
      <c r="D226" s="506">
        <f t="shared" si="6"/>
        <v>636032.66666666139</v>
      </c>
      <c r="E226" s="549">
        <f t="shared" si="11"/>
        <v>424021.77777777775</v>
      </c>
      <c r="F226" s="506">
        <f t="shared" si="7"/>
        <v>212010.88888888364</v>
      </c>
      <c r="G226" s="554">
        <f t="shared" si="8"/>
        <v>470802.65908229526</v>
      </c>
      <c r="H226" s="555">
        <f t="shared" si="9"/>
        <v>470802.65908229526</v>
      </c>
      <c r="I226" s="552">
        <f t="shared" si="10"/>
        <v>0</v>
      </c>
      <c r="J226" s="552"/>
      <c r="K226" s="572"/>
      <c r="L226" s="556"/>
      <c r="M226" s="572"/>
      <c r="N226" s="556"/>
      <c r="O226" s="556"/>
    </row>
    <row r="227" spans="3:15">
      <c r="C227" s="548">
        <f>IF(D185="","-",+C226+1)</f>
        <v>2049</v>
      </c>
      <c r="D227" s="506">
        <f t="shared" si="6"/>
        <v>212010.88888888364</v>
      </c>
      <c r="E227" s="549">
        <f t="shared" si="11"/>
        <v>212010.88888888364</v>
      </c>
      <c r="F227" s="506">
        <f t="shared" si="7"/>
        <v>0</v>
      </c>
      <c r="G227" s="554">
        <f t="shared" si="8"/>
        <v>223706.10921501287</v>
      </c>
      <c r="H227" s="555">
        <f t="shared" si="9"/>
        <v>223706.10921501287</v>
      </c>
      <c r="I227" s="552">
        <f t="shared" si="10"/>
        <v>0</v>
      </c>
      <c r="J227" s="552"/>
      <c r="K227" s="572"/>
      <c r="L227" s="556"/>
      <c r="M227" s="572"/>
      <c r="N227" s="556"/>
      <c r="O227" s="556"/>
    </row>
    <row r="228" spans="3:15">
      <c r="C228" s="548">
        <f>IF(D185="","-",+C227+1)</f>
        <v>2050</v>
      </c>
      <c r="D228" s="506">
        <f t="shared" si="6"/>
        <v>0</v>
      </c>
      <c r="E228" s="549">
        <f t="shared" si="11"/>
        <v>0</v>
      </c>
      <c r="F228" s="506">
        <f t="shared" si="7"/>
        <v>0</v>
      </c>
      <c r="G228" s="554">
        <f t="shared" si="8"/>
        <v>0</v>
      </c>
      <c r="H228" s="555">
        <f t="shared" si="9"/>
        <v>0</v>
      </c>
      <c r="I228" s="552">
        <f t="shared" si="10"/>
        <v>0</v>
      </c>
      <c r="J228" s="552"/>
      <c r="K228" s="572"/>
      <c r="L228" s="556"/>
      <c r="M228" s="572"/>
      <c r="N228" s="556"/>
      <c r="O228" s="556"/>
    </row>
    <row r="229" spans="3:15">
      <c r="C229" s="548">
        <f>IF(D185="","-",+C228+1)</f>
        <v>2051</v>
      </c>
      <c r="D229" s="506">
        <f t="shared" si="6"/>
        <v>0</v>
      </c>
      <c r="E229" s="549">
        <f t="shared" si="11"/>
        <v>0</v>
      </c>
      <c r="F229" s="506">
        <f t="shared" si="7"/>
        <v>0</v>
      </c>
      <c r="G229" s="554">
        <f t="shared" si="8"/>
        <v>0</v>
      </c>
      <c r="H229" s="555">
        <f t="shared" si="9"/>
        <v>0</v>
      </c>
      <c r="I229" s="552">
        <f t="shared" si="10"/>
        <v>0</v>
      </c>
      <c r="J229" s="552"/>
      <c r="K229" s="572"/>
      <c r="L229" s="556"/>
      <c r="M229" s="572"/>
      <c r="N229" s="556"/>
      <c r="O229" s="556"/>
    </row>
    <row r="230" spans="3:15">
      <c r="C230" s="548">
        <f>IF(D185="","-",+C229+1)</f>
        <v>2052</v>
      </c>
      <c r="D230" s="506">
        <f t="shared" si="6"/>
        <v>0</v>
      </c>
      <c r="E230" s="549">
        <f t="shared" si="11"/>
        <v>0</v>
      </c>
      <c r="F230" s="506">
        <f t="shared" si="7"/>
        <v>0</v>
      </c>
      <c r="G230" s="554">
        <f t="shared" si="8"/>
        <v>0</v>
      </c>
      <c r="H230" s="555">
        <f t="shared" si="9"/>
        <v>0</v>
      </c>
      <c r="I230" s="552">
        <f t="shared" si="10"/>
        <v>0</v>
      </c>
      <c r="J230" s="552"/>
      <c r="K230" s="572"/>
      <c r="L230" s="556"/>
      <c r="M230" s="572"/>
      <c r="N230" s="556"/>
      <c r="O230" s="556"/>
    </row>
    <row r="231" spans="3:15">
      <c r="C231" s="548">
        <f>IF(D185="","-",+C230+1)</f>
        <v>2053</v>
      </c>
      <c r="D231" s="506">
        <f t="shared" si="6"/>
        <v>0</v>
      </c>
      <c r="E231" s="549">
        <f t="shared" si="11"/>
        <v>0</v>
      </c>
      <c r="F231" s="506">
        <f t="shared" si="7"/>
        <v>0</v>
      </c>
      <c r="G231" s="554">
        <f t="shared" si="8"/>
        <v>0</v>
      </c>
      <c r="H231" s="555">
        <f t="shared" si="9"/>
        <v>0</v>
      </c>
      <c r="I231" s="552">
        <f t="shared" si="10"/>
        <v>0</v>
      </c>
      <c r="J231" s="552"/>
      <c r="K231" s="572"/>
      <c r="L231" s="556"/>
      <c r="M231" s="572"/>
      <c r="N231" s="556"/>
      <c r="O231" s="556"/>
    </row>
    <row r="232" spans="3:15">
      <c r="C232" s="548">
        <f>IF(D185="","-",+C231+1)</f>
        <v>2054</v>
      </c>
      <c r="D232" s="506">
        <f t="shared" si="6"/>
        <v>0</v>
      </c>
      <c r="E232" s="549">
        <f t="shared" si="11"/>
        <v>0</v>
      </c>
      <c r="F232" s="506">
        <f t="shared" si="7"/>
        <v>0</v>
      </c>
      <c r="G232" s="554">
        <f t="shared" si="8"/>
        <v>0</v>
      </c>
      <c r="H232" s="555">
        <f t="shared" si="9"/>
        <v>0</v>
      </c>
      <c r="I232" s="552">
        <f t="shared" si="10"/>
        <v>0</v>
      </c>
      <c r="J232" s="552"/>
      <c r="K232" s="572"/>
      <c r="L232" s="556"/>
      <c r="M232" s="572"/>
      <c r="N232" s="556"/>
      <c r="O232" s="556"/>
    </row>
    <row r="233" spans="3:15">
      <c r="C233" s="548">
        <f>IF(D185="","-",+C232+1)</f>
        <v>2055</v>
      </c>
      <c r="D233" s="506">
        <f t="shared" si="6"/>
        <v>0</v>
      </c>
      <c r="E233" s="549">
        <f t="shared" si="11"/>
        <v>0</v>
      </c>
      <c r="F233" s="506">
        <f t="shared" si="7"/>
        <v>0</v>
      </c>
      <c r="G233" s="554">
        <f t="shared" si="8"/>
        <v>0</v>
      </c>
      <c r="H233" s="555">
        <f t="shared" si="9"/>
        <v>0</v>
      </c>
      <c r="I233" s="552">
        <f t="shared" si="10"/>
        <v>0</v>
      </c>
      <c r="J233" s="552"/>
      <c r="K233" s="572"/>
      <c r="L233" s="556"/>
      <c r="M233" s="572"/>
      <c r="N233" s="556"/>
      <c r="O233" s="556"/>
    </row>
    <row r="234" spans="3:15">
      <c r="C234" s="548">
        <f>IF(D185="","-",+C233+1)</f>
        <v>2056</v>
      </c>
      <c r="D234" s="506">
        <f t="shared" si="6"/>
        <v>0</v>
      </c>
      <c r="E234" s="549">
        <f t="shared" si="11"/>
        <v>0</v>
      </c>
      <c r="F234" s="506">
        <f t="shared" si="7"/>
        <v>0</v>
      </c>
      <c r="G234" s="554">
        <f t="shared" si="8"/>
        <v>0</v>
      </c>
      <c r="H234" s="555">
        <f t="shared" si="9"/>
        <v>0</v>
      </c>
      <c r="I234" s="552">
        <f t="shared" si="10"/>
        <v>0</v>
      </c>
      <c r="J234" s="552"/>
      <c r="K234" s="572"/>
      <c r="L234" s="556"/>
      <c r="M234" s="572"/>
      <c r="N234" s="556"/>
      <c r="O234" s="556"/>
    </row>
    <row r="235" spans="3:15">
      <c r="C235" s="548">
        <f>IF(D185="","-",+C234+1)</f>
        <v>2057</v>
      </c>
      <c r="D235" s="506">
        <f t="shared" si="6"/>
        <v>0</v>
      </c>
      <c r="E235" s="549">
        <f t="shared" si="11"/>
        <v>0</v>
      </c>
      <c r="F235" s="506">
        <f t="shared" si="7"/>
        <v>0</v>
      </c>
      <c r="G235" s="554">
        <f t="shared" si="8"/>
        <v>0</v>
      </c>
      <c r="H235" s="555">
        <f t="shared" si="9"/>
        <v>0</v>
      </c>
      <c r="I235" s="552">
        <f t="shared" si="10"/>
        <v>0</v>
      </c>
      <c r="J235" s="552"/>
      <c r="K235" s="572"/>
      <c r="L235" s="556"/>
      <c r="M235" s="572"/>
      <c r="N235" s="556"/>
      <c r="O235" s="556"/>
    </row>
    <row r="236" spans="3:15">
      <c r="C236" s="548">
        <f>IF(D185="","-",+C235+1)</f>
        <v>2058</v>
      </c>
      <c r="D236" s="506">
        <f t="shared" si="6"/>
        <v>0</v>
      </c>
      <c r="E236" s="549">
        <f t="shared" si="11"/>
        <v>0</v>
      </c>
      <c r="F236" s="506">
        <f t="shared" si="7"/>
        <v>0</v>
      </c>
      <c r="G236" s="554">
        <f t="shared" si="8"/>
        <v>0</v>
      </c>
      <c r="H236" s="555">
        <f t="shared" si="9"/>
        <v>0</v>
      </c>
      <c r="I236" s="552">
        <f t="shared" si="10"/>
        <v>0</v>
      </c>
      <c r="J236" s="552"/>
      <c r="K236" s="572"/>
      <c r="L236" s="556"/>
      <c r="M236" s="572"/>
      <c r="N236" s="556"/>
      <c r="O236" s="556"/>
    </row>
    <row r="237" spans="3:15">
      <c r="C237" s="548">
        <f>IF(D185="","-",+C236+1)</f>
        <v>2059</v>
      </c>
      <c r="D237" s="506">
        <f t="shared" si="6"/>
        <v>0</v>
      </c>
      <c r="E237" s="549">
        <f t="shared" si="11"/>
        <v>0</v>
      </c>
      <c r="F237" s="506">
        <f t="shared" si="7"/>
        <v>0</v>
      </c>
      <c r="G237" s="554">
        <f t="shared" si="8"/>
        <v>0</v>
      </c>
      <c r="H237" s="555">
        <f t="shared" si="9"/>
        <v>0</v>
      </c>
      <c r="I237" s="552">
        <f t="shared" si="10"/>
        <v>0</v>
      </c>
      <c r="J237" s="552"/>
      <c r="K237" s="572"/>
      <c r="L237" s="556"/>
      <c r="M237" s="572"/>
      <c r="N237" s="556"/>
      <c r="O237" s="556"/>
    </row>
    <row r="238" spans="3:15">
      <c r="C238" s="548">
        <f>IF(D185="","-",+C237+1)</f>
        <v>2060</v>
      </c>
      <c r="D238" s="506">
        <f t="shared" si="6"/>
        <v>0</v>
      </c>
      <c r="E238" s="549">
        <f t="shared" si="11"/>
        <v>0</v>
      </c>
      <c r="F238" s="506">
        <f t="shared" si="7"/>
        <v>0</v>
      </c>
      <c r="G238" s="554">
        <f t="shared" si="8"/>
        <v>0</v>
      </c>
      <c r="H238" s="555">
        <f t="shared" si="9"/>
        <v>0</v>
      </c>
      <c r="I238" s="552">
        <f t="shared" si="10"/>
        <v>0</v>
      </c>
      <c r="J238" s="552"/>
      <c r="K238" s="572"/>
      <c r="L238" s="556"/>
      <c r="M238" s="572"/>
      <c r="N238" s="556"/>
      <c r="O238" s="556"/>
    </row>
    <row r="239" spans="3:15">
      <c r="C239" s="548">
        <f>IF(D185="","-",+C238+1)</f>
        <v>2061</v>
      </c>
      <c r="D239" s="506">
        <f t="shared" si="6"/>
        <v>0</v>
      </c>
      <c r="E239" s="549">
        <f t="shared" si="11"/>
        <v>0</v>
      </c>
      <c r="F239" s="506">
        <f t="shared" si="7"/>
        <v>0</v>
      </c>
      <c r="G239" s="554">
        <f t="shared" si="8"/>
        <v>0</v>
      </c>
      <c r="H239" s="555">
        <f t="shared" si="9"/>
        <v>0</v>
      </c>
      <c r="I239" s="552">
        <f t="shared" si="10"/>
        <v>0</v>
      </c>
      <c r="J239" s="552"/>
      <c r="K239" s="572"/>
      <c r="L239" s="556"/>
      <c r="M239" s="572"/>
      <c r="N239" s="556"/>
      <c r="O239" s="556"/>
    </row>
    <row r="240" spans="3:15">
      <c r="C240" s="548">
        <f>IF(D185="","-",+C239+1)</f>
        <v>2062</v>
      </c>
      <c r="D240" s="506">
        <f t="shared" si="6"/>
        <v>0</v>
      </c>
      <c r="E240" s="549">
        <f t="shared" si="11"/>
        <v>0</v>
      </c>
      <c r="F240" s="506">
        <f t="shared" si="7"/>
        <v>0</v>
      </c>
      <c r="G240" s="554">
        <f t="shared" si="8"/>
        <v>0</v>
      </c>
      <c r="H240" s="555">
        <f t="shared" si="9"/>
        <v>0</v>
      </c>
      <c r="I240" s="552">
        <f t="shared" si="10"/>
        <v>0</v>
      </c>
      <c r="J240" s="552"/>
      <c r="K240" s="572"/>
      <c r="L240" s="556"/>
      <c r="M240" s="572"/>
      <c r="N240" s="556"/>
      <c r="O240" s="556"/>
    </row>
    <row r="241" spans="3:15">
      <c r="C241" s="548">
        <f>IF(D185="","-",+C240+1)</f>
        <v>2063</v>
      </c>
      <c r="D241" s="506">
        <f t="shared" si="6"/>
        <v>0</v>
      </c>
      <c r="E241" s="549">
        <f t="shared" si="11"/>
        <v>0</v>
      </c>
      <c r="F241" s="506">
        <f t="shared" si="7"/>
        <v>0</v>
      </c>
      <c r="G241" s="554">
        <f t="shared" si="8"/>
        <v>0</v>
      </c>
      <c r="H241" s="555">
        <f t="shared" si="9"/>
        <v>0</v>
      </c>
      <c r="I241" s="552">
        <f t="shared" si="10"/>
        <v>0</v>
      </c>
      <c r="J241" s="552"/>
      <c r="K241" s="572"/>
      <c r="L241" s="556"/>
      <c r="M241" s="572"/>
      <c r="N241" s="556"/>
      <c r="O241" s="556"/>
    </row>
    <row r="242" spans="3:15">
      <c r="C242" s="548">
        <f>IF(D185="","-",+C241+1)</f>
        <v>2064</v>
      </c>
      <c r="D242" s="506">
        <f t="shared" si="6"/>
        <v>0</v>
      </c>
      <c r="E242" s="549">
        <f t="shared" si="11"/>
        <v>0</v>
      </c>
      <c r="F242" s="506">
        <f t="shared" si="7"/>
        <v>0</v>
      </c>
      <c r="G242" s="554">
        <f t="shared" si="8"/>
        <v>0</v>
      </c>
      <c r="H242" s="555">
        <f t="shared" si="9"/>
        <v>0</v>
      </c>
      <c r="I242" s="552">
        <f t="shared" si="10"/>
        <v>0</v>
      </c>
      <c r="J242" s="552"/>
      <c r="K242" s="572"/>
      <c r="L242" s="556"/>
      <c r="M242" s="572"/>
      <c r="N242" s="556"/>
      <c r="O242" s="556"/>
    </row>
    <row r="243" spans="3:15">
      <c r="C243" s="548">
        <f>IF(D185="","-",+C242+1)</f>
        <v>2065</v>
      </c>
      <c r="D243" s="506">
        <f t="shared" si="6"/>
        <v>0</v>
      </c>
      <c r="E243" s="549">
        <f t="shared" si="11"/>
        <v>0</v>
      </c>
      <c r="F243" s="506">
        <f t="shared" si="7"/>
        <v>0</v>
      </c>
      <c r="G243" s="554">
        <f t="shared" si="8"/>
        <v>0</v>
      </c>
      <c r="H243" s="555">
        <f t="shared" si="9"/>
        <v>0</v>
      </c>
      <c r="I243" s="552">
        <f t="shared" si="10"/>
        <v>0</v>
      </c>
      <c r="J243" s="552"/>
      <c r="K243" s="572"/>
      <c r="L243" s="556"/>
      <c r="M243" s="572"/>
      <c r="N243" s="556"/>
      <c r="O243" s="556"/>
    </row>
    <row r="244" spans="3:15">
      <c r="C244" s="548">
        <f>IF(D185="","-",+C243+1)</f>
        <v>2066</v>
      </c>
      <c r="D244" s="506">
        <f t="shared" si="6"/>
        <v>0</v>
      </c>
      <c r="E244" s="549">
        <f t="shared" si="11"/>
        <v>0</v>
      </c>
      <c r="F244" s="506">
        <f t="shared" si="7"/>
        <v>0</v>
      </c>
      <c r="G244" s="554">
        <f t="shared" si="8"/>
        <v>0</v>
      </c>
      <c r="H244" s="555">
        <f t="shared" si="9"/>
        <v>0</v>
      </c>
      <c r="I244" s="552">
        <f t="shared" si="10"/>
        <v>0</v>
      </c>
      <c r="J244" s="552"/>
      <c r="K244" s="572"/>
      <c r="L244" s="556"/>
      <c r="M244" s="572"/>
      <c r="N244" s="556"/>
      <c r="O244" s="556"/>
    </row>
    <row r="245" spans="3:15">
      <c r="C245" s="548">
        <f>IF(D185="","-",+C244+1)</f>
        <v>2067</v>
      </c>
      <c r="D245" s="506">
        <f t="shared" si="6"/>
        <v>0</v>
      </c>
      <c r="E245" s="549">
        <f t="shared" si="11"/>
        <v>0</v>
      </c>
      <c r="F245" s="506">
        <f t="shared" si="7"/>
        <v>0</v>
      </c>
      <c r="G245" s="554">
        <f t="shared" si="8"/>
        <v>0</v>
      </c>
      <c r="H245" s="555">
        <f t="shared" si="9"/>
        <v>0</v>
      </c>
      <c r="I245" s="552">
        <f t="shared" si="10"/>
        <v>0</v>
      </c>
      <c r="J245" s="552"/>
      <c r="K245" s="572"/>
      <c r="L245" s="556"/>
      <c r="M245" s="572"/>
      <c r="N245" s="556"/>
      <c r="O245" s="556"/>
    </row>
    <row r="246" spans="3:15">
      <c r="C246" s="548">
        <f>IF(D185="","-",+C245+1)</f>
        <v>2068</v>
      </c>
      <c r="D246" s="506">
        <f t="shared" si="6"/>
        <v>0</v>
      </c>
      <c r="E246" s="549">
        <f t="shared" si="11"/>
        <v>0</v>
      </c>
      <c r="F246" s="506">
        <f t="shared" si="7"/>
        <v>0</v>
      </c>
      <c r="G246" s="554">
        <f t="shared" si="8"/>
        <v>0</v>
      </c>
      <c r="H246" s="555">
        <f t="shared" si="9"/>
        <v>0</v>
      </c>
      <c r="I246" s="552">
        <f t="shared" si="10"/>
        <v>0</v>
      </c>
      <c r="J246" s="552"/>
      <c r="K246" s="572"/>
      <c r="L246" s="556"/>
      <c r="M246" s="572"/>
      <c r="N246" s="556"/>
      <c r="O246" s="556"/>
    </row>
    <row r="247" spans="3:15">
      <c r="C247" s="548">
        <f>IF(D185="","-",+C246+1)</f>
        <v>2069</v>
      </c>
      <c r="D247" s="506">
        <f t="shared" si="6"/>
        <v>0</v>
      </c>
      <c r="E247" s="549">
        <f t="shared" si="11"/>
        <v>0</v>
      </c>
      <c r="F247" s="506">
        <f t="shared" si="7"/>
        <v>0</v>
      </c>
      <c r="G247" s="554">
        <f t="shared" si="8"/>
        <v>0</v>
      </c>
      <c r="H247" s="555">
        <f t="shared" si="9"/>
        <v>0</v>
      </c>
      <c r="I247" s="552">
        <f t="shared" si="10"/>
        <v>0</v>
      </c>
      <c r="J247" s="552"/>
      <c r="K247" s="572"/>
      <c r="L247" s="556"/>
      <c r="M247" s="572"/>
      <c r="N247" s="556"/>
      <c r="O247" s="556"/>
    </row>
    <row r="248" spans="3:15">
      <c r="C248" s="548">
        <f>IF(D185="","-",+C247+1)</f>
        <v>2070</v>
      </c>
      <c r="D248" s="506">
        <f t="shared" si="6"/>
        <v>0</v>
      </c>
      <c r="E248" s="549">
        <f t="shared" si="11"/>
        <v>0</v>
      </c>
      <c r="F248" s="506">
        <f t="shared" si="7"/>
        <v>0</v>
      </c>
      <c r="G248" s="554">
        <f t="shared" si="8"/>
        <v>0</v>
      </c>
      <c r="H248" s="555">
        <f t="shared" si="9"/>
        <v>0</v>
      </c>
      <c r="I248" s="552">
        <f t="shared" si="10"/>
        <v>0</v>
      </c>
      <c r="J248" s="552"/>
      <c r="K248" s="572"/>
      <c r="L248" s="556"/>
      <c r="M248" s="572"/>
      <c r="N248" s="556"/>
      <c r="O248" s="556"/>
    </row>
    <row r="249" spans="3:15">
      <c r="C249" s="548">
        <f>IF(D185="","-",+C248+1)</f>
        <v>2071</v>
      </c>
      <c r="D249" s="506">
        <f t="shared" si="6"/>
        <v>0</v>
      </c>
      <c r="E249" s="549">
        <f t="shared" si="11"/>
        <v>0</v>
      </c>
      <c r="F249" s="506">
        <f t="shared" si="7"/>
        <v>0</v>
      </c>
      <c r="G249" s="554">
        <f t="shared" si="8"/>
        <v>0</v>
      </c>
      <c r="H249" s="555">
        <f t="shared" si="9"/>
        <v>0</v>
      </c>
      <c r="I249" s="552">
        <f t="shared" si="10"/>
        <v>0</v>
      </c>
      <c r="J249" s="552"/>
      <c r="K249" s="572"/>
      <c r="L249" s="556"/>
      <c r="M249" s="572"/>
      <c r="N249" s="556"/>
      <c r="O249" s="556"/>
    </row>
    <row r="250" spans="3:15" ht="13.5" thickBot="1">
      <c r="C250" s="558">
        <f>IF(D185="","-",+C249+1)</f>
        <v>2072</v>
      </c>
      <c r="D250" s="559">
        <f t="shared" si="6"/>
        <v>0</v>
      </c>
      <c r="E250" s="560">
        <f t="shared" si="11"/>
        <v>0</v>
      </c>
      <c r="F250" s="559">
        <f t="shared" si="7"/>
        <v>0</v>
      </c>
      <c r="G250" s="561">
        <f t="shared" si="8"/>
        <v>0</v>
      </c>
      <c r="H250" s="561">
        <f t="shared" si="9"/>
        <v>0</v>
      </c>
      <c r="I250" s="562">
        <f t="shared" si="10"/>
        <v>0</v>
      </c>
      <c r="J250" s="552"/>
      <c r="K250" s="573"/>
      <c r="L250" s="563"/>
      <c r="M250" s="573"/>
      <c r="N250" s="563"/>
      <c r="O250" s="563"/>
    </row>
    <row r="251" spans="3:15">
      <c r="C251" s="506" t="s">
        <v>91</v>
      </c>
      <c r="D251" s="503"/>
      <c r="E251" s="503">
        <f>SUM(E191:E250)</f>
        <v>15264784.000000002</v>
      </c>
      <c r="F251" s="503"/>
      <c r="G251" s="503">
        <f>SUM(G191:G250)</f>
        <v>46420850.948809035</v>
      </c>
      <c r="H251" s="503">
        <f>SUM(H191:H250)</f>
        <v>46420850.948809035</v>
      </c>
      <c r="I251" s="503">
        <f>SUM(I191:I250)</f>
        <v>0</v>
      </c>
      <c r="J251" s="503"/>
      <c r="K251" s="503"/>
      <c r="L251" s="503"/>
      <c r="M251" s="503"/>
      <c r="N251" s="503"/>
      <c r="O251" s="3"/>
    </row>
    <row r="252" spans="3:15">
      <c r="D252" s="47"/>
      <c r="E252" s="3"/>
      <c r="F252" s="3"/>
      <c r="G252" s="3"/>
      <c r="H252" s="490"/>
      <c r="I252" s="490"/>
      <c r="J252" s="503"/>
      <c r="K252" s="490"/>
      <c r="L252" s="490"/>
      <c r="M252" s="490"/>
      <c r="N252" s="490"/>
      <c r="O252" s="3"/>
    </row>
    <row r="253" spans="3:15">
      <c r="C253" s="3" t="s">
        <v>13</v>
      </c>
      <c r="D253" s="47"/>
      <c r="E253" s="3"/>
      <c r="F253" s="3"/>
      <c r="G253" s="3"/>
      <c r="H253" s="490"/>
      <c r="I253" s="490"/>
      <c r="J253" s="503"/>
      <c r="K253" s="490"/>
      <c r="L253" s="490"/>
      <c r="M253" s="490"/>
      <c r="N253" s="490"/>
      <c r="O253" s="3"/>
    </row>
    <row r="254" spans="3:15">
      <c r="C254" s="3"/>
      <c r="D254" s="47"/>
      <c r="E254" s="3"/>
      <c r="F254" s="3"/>
      <c r="G254" s="3"/>
      <c r="H254" s="490"/>
      <c r="I254" s="490"/>
      <c r="J254" s="503"/>
      <c r="K254" s="490"/>
      <c r="L254" s="490"/>
      <c r="M254" s="490"/>
      <c r="N254" s="490"/>
      <c r="O254" s="3"/>
    </row>
    <row r="255" spans="3:15">
      <c r="C255" s="518" t="s">
        <v>14</v>
      </c>
      <c r="D255" s="506"/>
      <c r="E255" s="506"/>
      <c r="F255" s="506"/>
      <c r="G255" s="503"/>
      <c r="H255" s="503"/>
      <c r="I255" s="564"/>
      <c r="J255" s="564"/>
      <c r="K255" s="564"/>
      <c r="L255" s="564"/>
      <c r="M255" s="564"/>
      <c r="N255" s="564"/>
      <c r="O255" s="3"/>
    </row>
    <row r="256" spans="3:15">
      <c r="C256" s="507" t="s">
        <v>271</v>
      </c>
      <c r="D256" s="506"/>
      <c r="E256" s="506"/>
      <c r="F256" s="506"/>
      <c r="G256" s="503"/>
      <c r="H256" s="503"/>
      <c r="I256" s="564"/>
      <c r="J256" s="564"/>
      <c r="K256" s="564"/>
      <c r="L256" s="564"/>
      <c r="M256" s="564"/>
      <c r="N256" s="564"/>
      <c r="O256" s="3"/>
    </row>
    <row r="257" spans="1:16">
      <c r="C257" s="507" t="s">
        <v>92</v>
      </c>
      <c r="D257" s="506"/>
      <c r="E257" s="506"/>
      <c r="F257" s="506"/>
      <c r="G257" s="503"/>
      <c r="H257" s="503"/>
      <c r="I257" s="564"/>
      <c r="J257" s="564"/>
      <c r="K257" s="564"/>
      <c r="L257" s="564"/>
      <c r="M257" s="564"/>
      <c r="N257" s="564"/>
      <c r="O257" s="3"/>
    </row>
    <row r="258" spans="1:16">
      <c r="C258" s="507"/>
      <c r="D258" s="506"/>
      <c r="E258" s="506"/>
      <c r="F258" s="506"/>
      <c r="G258" s="503"/>
      <c r="H258" s="503"/>
      <c r="I258" s="564"/>
      <c r="J258" s="564"/>
      <c r="K258" s="564"/>
      <c r="L258" s="564"/>
      <c r="M258" s="564"/>
      <c r="N258" s="564"/>
      <c r="O258" s="3"/>
    </row>
    <row r="259" spans="1:16">
      <c r="C259" s="1209" t="s">
        <v>6</v>
      </c>
      <c r="D259" s="1209"/>
      <c r="E259" s="1209"/>
      <c r="F259" s="1209"/>
      <c r="G259" s="1209"/>
      <c r="H259" s="1209"/>
      <c r="I259" s="1209"/>
      <c r="J259" s="1209"/>
      <c r="K259" s="1209"/>
      <c r="L259" s="1209"/>
      <c r="M259" s="1209"/>
      <c r="N259" s="1209"/>
      <c r="O259" s="1209"/>
    </row>
    <row r="260" spans="1:16">
      <c r="C260" s="1209"/>
      <c r="D260" s="1209"/>
      <c r="E260" s="1209"/>
      <c r="F260" s="1209"/>
      <c r="G260" s="1209"/>
      <c r="H260" s="1209"/>
      <c r="I260" s="1209"/>
      <c r="J260" s="1209"/>
      <c r="K260" s="1209"/>
      <c r="L260" s="1209"/>
      <c r="M260" s="1209"/>
      <c r="N260" s="1209"/>
      <c r="O260" s="1209"/>
    </row>
    <row r="261" spans="1:16" ht="20.25">
      <c r="A261" s="447" t="str">
        <f>""&amp;A185&amp;" Worksheet J -  ATRR PROJECTED Calculation for PJM Projects Charged to Benefiting Zones"</f>
        <v xml:space="preserve"> Worksheet J -  ATRR PROJECTED Calculation for PJM Projects Charged to Benefiting Zones</v>
      </c>
      <c r="B261" s="3"/>
      <c r="C261" s="3"/>
      <c r="D261" s="47"/>
      <c r="E261" s="3"/>
      <c r="F261" s="489"/>
      <c r="G261" s="3"/>
      <c r="H261" s="490"/>
      <c r="K261" s="398"/>
      <c r="L261" s="398"/>
      <c r="M261" s="398"/>
      <c r="N261" s="398" t="str">
        <f>"Page "&amp;SUM(P$8:P261)&amp;" of "</f>
        <v xml:space="preserve">Page 4 of </v>
      </c>
      <c r="O261" s="448">
        <f>COUNT(P$8:P$56656)</f>
        <v>11</v>
      </c>
      <c r="P261">
        <v>1</v>
      </c>
    </row>
    <row r="262" spans="1:16">
      <c r="B262" s="3"/>
      <c r="C262" s="3"/>
      <c r="D262" s="47"/>
      <c r="E262" s="3"/>
      <c r="F262" s="3"/>
      <c r="G262" s="3"/>
      <c r="H262" s="490"/>
      <c r="I262" s="3"/>
      <c r="J262" s="3"/>
      <c r="K262" s="3"/>
      <c r="L262" s="3"/>
      <c r="M262" s="3"/>
      <c r="N262" s="3"/>
      <c r="O262" s="3"/>
    </row>
    <row r="263" spans="1:16" ht="18">
      <c r="B263" s="449" t="s">
        <v>472</v>
      </c>
      <c r="C263" s="122" t="s">
        <v>93</v>
      </c>
      <c r="D263" s="47"/>
      <c r="E263" s="3"/>
      <c r="F263" s="3"/>
      <c r="G263" s="3"/>
      <c r="H263" s="490"/>
      <c r="I263" s="490"/>
      <c r="J263" s="503"/>
      <c r="K263" s="490"/>
      <c r="L263" s="490"/>
      <c r="M263" s="490"/>
      <c r="N263" s="490"/>
      <c r="O263" s="3"/>
    </row>
    <row r="264" spans="1:16" ht="18.75">
      <c r="B264" s="449"/>
      <c r="C264" s="6"/>
      <c r="D264" s="47"/>
      <c r="E264" s="3"/>
      <c r="F264" s="3"/>
      <c r="G264" s="3"/>
      <c r="H264" s="490"/>
      <c r="I264" s="490"/>
      <c r="J264" s="503"/>
      <c r="K264" s="490"/>
      <c r="L264" s="490"/>
      <c r="M264" s="490"/>
      <c r="N264" s="490"/>
      <c r="O264" s="3"/>
    </row>
    <row r="265" spans="1:16" ht="18.75">
      <c r="B265" s="449"/>
      <c r="C265" s="6" t="s">
        <v>94</v>
      </c>
      <c r="D265" s="47"/>
      <c r="E265" s="3"/>
      <c r="F265" s="3"/>
      <c r="G265" s="3"/>
      <c r="H265" s="490"/>
      <c r="I265" s="490"/>
      <c r="J265" s="503"/>
      <c r="K265" s="490"/>
      <c r="L265" s="490"/>
      <c r="M265" s="490"/>
      <c r="N265" s="490"/>
      <c r="O265" s="3"/>
    </row>
    <row r="266" spans="1:16" ht="15.75" thickBot="1">
      <c r="C266" s="132"/>
      <c r="D266" s="47"/>
      <c r="E266" s="3"/>
      <c r="F266" s="3"/>
      <c r="G266" s="3"/>
      <c r="H266" s="490"/>
      <c r="I266" s="490"/>
      <c r="J266" s="503"/>
      <c r="K266" s="490"/>
      <c r="L266" s="490"/>
      <c r="M266" s="490"/>
      <c r="N266" s="490"/>
      <c r="O266" s="3"/>
    </row>
    <row r="267" spans="1:16" ht="15.75">
      <c r="C267" s="451" t="s">
        <v>95</v>
      </c>
      <c r="D267" s="47"/>
      <c r="E267" s="3"/>
      <c r="F267" s="3"/>
      <c r="G267" s="566"/>
      <c r="H267" s="3" t="s">
        <v>74</v>
      </c>
      <c r="I267" s="3"/>
      <c r="J267" s="3"/>
      <c r="K267" s="509" t="s">
        <v>99</v>
      </c>
      <c r="L267" s="510"/>
      <c r="M267" s="511"/>
      <c r="N267" s="512">
        <f>IF(I273=0,0,VLOOKUP(I273,C280:O339,5))</f>
        <v>597164.87993617181</v>
      </c>
      <c r="O267" s="3"/>
    </row>
    <row r="268" spans="1:16" ht="15.75">
      <c r="C268" s="451"/>
      <c r="D268" s="47"/>
      <c r="E268" s="3"/>
      <c r="F268" s="3"/>
      <c r="G268" s="3"/>
      <c r="H268" s="513"/>
      <c r="I268" s="513"/>
      <c r="J268" s="514"/>
      <c r="K268" s="515" t="s">
        <v>100</v>
      </c>
      <c r="L268" s="516"/>
      <c r="M268" s="3"/>
      <c r="N268" s="517">
        <f>IF(I273=0,0,VLOOKUP(I273,C280:O339,6))</f>
        <v>597164.87993617181</v>
      </c>
      <c r="O268" s="3"/>
    </row>
    <row r="269" spans="1:16" ht="13.5" thickBot="1">
      <c r="C269" s="518" t="s">
        <v>96</v>
      </c>
      <c r="D269" s="1210" t="s">
        <v>815</v>
      </c>
      <c r="E269" s="1210"/>
      <c r="F269" s="1210"/>
      <c r="G269" s="1210"/>
      <c r="H269" s="1210"/>
      <c r="I269" s="1210"/>
      <c r="J269" s="503"/>
      <c r="K269" s="519" t="s">
        <v>238</v>
      </c>
      <c r="L269" s="520"/>
      <c r="M269" s="520"/>
      <c r="N269" s="521">
        <f>+N268-N267</f>
        <v>0</v>
      </c>
      <c r="O269" s="3"/>
    </row>
    <row r="270" spans="1:16">
      <c r="C270" s="522"/>
      <c r="D270" s="1210"/>
      <c r="E270" s="1210"/>
      <c r="F270" s="1210"/>
      <c r="G270" s="1210"/>
      <c r="H270" s="1210"/>
      <c r="I270" s="1210"/>
      <c r="J270" s="503"/>
      <c r="K270" s="490"/>
      <c r="L270" s="490"/>
      <c r="M270" s="490"/>
      <c r="N270" s="490"/>
      <c r="O270" s="3"/>
    </row>
    <row r="271" spans="1:16" ht="13.5" thickBot="1">
      <c r="C271" s="522"/>
      <c r="D271" s="3"/>
      <c r="E271" s="524"/>
      <c r="F271" s="524"/>
      <c r="G271" s="524"/>
      <c r="H271" s="524"/>
      <c r="I271" s="524"/>
      <c r="J271" s="524"/>
      <c r="K271" s="524"/>
      <c r="L271" s="524"/>
      <c r="M271" s="524"/>
      <c r="N271" s="524"/>
      <c r="O271" s="3"/>
    </row>
    <row r="272" spans="1:16" ht="13.5" thickBot="1">
      <c r="C272" s="525" t="s">
        <v>97</v>
      </c>
      <c r="D272" s="526"/>
      <c r="E272" s="526"/>
      <c r="F272" s="526"/>
      <c r="G272" s="526"/>
      <c r="H272" s="526"/>
      <c r="I272" s="527"/>
      <c r="K272" s="3"/>
      <c r="L272" s="3"/>
      <c r="M272" s="3"/>
      <c r="N272" s="3"/>
      <c r="O272" s="3"/>
    </row>
    <row r="273" spans="2:15" ht="15">
      <c r="C273" s="528" t="s">
        <v>75</v>
      </c>
      <c r="D273" s="568">
        <v>5805543</v>
      </c>
      <c r="E273" s="3" t="s">
        <v>76</v>
      </c>
      <c r="G273" s="47"/>
      <c r="H273" s="47"/>
      <c r="I273" s="529">
        <f>$L$26</f>
        <v>2025</v>
      </c>
      <c r="J273" s="70"/>
      <c r="K273" s="1211" t="s">
        <v>247</v>
      </c>
      <c r="L273" s="1211"/>
      <c r="M273" s="1211"/>
      <c r="N273" s="1211"/>
      <c r="O273" s="1211"/>
    </row>
    <row r="274" spans="2:15">
      <c r="C274" s="528" t="s">
        <v>78</v>
      </c>
      <c r="D274" s="569">
        <v>2013</v>
      </c>
      <c r="E274" s="528" t="s">
        <v>79</v>
      </c>
      <c r="F274" s="47"/>
      <c r="H274"/>
      <c r="I274" s="570">
        <f>IF(G267="",0,$F$17)</f>
        <v>0</v>
      </c>
      <c r="J274" s="530"/>
      <c r="K274" s="503" t="s">
        <v>247</v>
      </c>
    </row>
    <row r="275" spans="2:15">
      <c r="C275" s="528" t="s">
        <v>80</v>
      </c>
      <c r="D275" s="568">
        <v>12</v>
      </c>
      <c r="E275" s="528" t="s">
        <v>81</v>
      </c>
      <c r="F275" s="47"/>
      <c r="H275"/>
      <c r="I275" s="531">
        <f>$G$70</f>
        <v>0.11032660055737779</v>
      </c>
      <c r="J275" s="489"/>
      <c r="K275" t="str">
        <f>"          INPUT PROJECTED ARR (WITH &amp; WITHOUT INCENTIVES) FROM EACH PRIOR YEAR"</f>
        <v xml:space="preserve">          INPUT PROJECTED ARR (WITH &amp; WITHOUT INCENTIVES) FROM EACH PRIOR YEAR</v>
      </c>
    </row>
    <row r="276" spans="2:15">
      <c r="C276" s="528" t="s">
        <v>82</v>
      </c>
      <c r="D276" s="532">
        <f>$G$79</f>
        <v>36</v>
      </c>
      <c r="E276" s="528" t="s">
        <v>83</v>
      </c>
      <c r="F276" s="47"/>
      <c r="H276"/>
      <c r="I276" s="531">
        <f>IF(G267="",I275,$G$69)</f>
        <v>0.11032660055737779</v>
      </c>
      <c r="J276" s="489"/>
      <c r="K276" t="s">
        <v>160</v>
      </c>
    </row>
    <row r="277" spans="2:15" ht="13.5" thickBot="1">
      <c r="C277" s="528" t="s">
        <v>84</v>
      </c>
      <c r="D277" s="567" t="s">
        <v>812</v>
      </c>
      <c r="E277" s="533" t="s">
        <v>85</v>
      </c>
      <c r="F277" s="534"/>
      <c r="G277" s="535"/>
      <c r="H277" s="535"/>
      <c r="I277" s="521">
        <f>IF(D273=0,0,D273/D276)</f>
        <v>161265.08333333334</v>
      </c>
      <c r="J277" s="503"/>
      <c r="K277" s="503" t="s">
        <v>166</v>
      </c>
      <c r="L277" s="503"/>
      <c r="M277" s="503"/>
      <c r="N277" s="503"/>
      <c r="O277" s="3"/>
    </row>
    <row r="278" spans="2:15" ht="51">
      <c r="B278" s="450"/>
      <c r="C278" s="536" t="s">
        <v>75</v>
      </c>
      <c r="D278" s="537" t="s">
        <v>86</v>
      </c>
      <c r="E278" s="538" t="s">
        <v>87</v>
      </c>
      <c r="F278" s="537" t="s">
        <v>88</v>
      </c>
      <c r="G278" s="538" t="s">
        <v>159</v>
      </c>
      <c r="H278" s="539" t="s">
        <v>159</v>
      </c>
      <c r="I278" s="536" t="s">
        <v>98</v>
      </c>
      <c r="J278" s="540"/>
      <c r="K278" s="538" t="s">
        <v>168</v>
      </c>
      <c r="L278" s="541"/>
      <c r="M278" s="538" t="s">
        <v>168</v>
      </c>
      <c r="N278" s="541"/>
      <c r="O278" s="541"/>
    </row>
    <row r="279" spans="2:15" ht="13.5" thickBot="1">
      <c r="C279" s="542" t="s">
        <v>475</v>
      </c>
      <c r="D279" s="543" t="s">
        <v>476</v>
      </c>
      <c r="E279" s="542" t="s">
        <v>369</v>
      </c>
      <c r="F279" s="543" t="s">
        <v>476</v>
      </c>
      <c r="G279" s="544" t="s">
        <v>101</v>
      </c>
      <c r="H279" s="545" t="s">
        <v>103</v>
      </c>
      <c r="I279" s="542" t="s">
        <v>15</v>
      </c>
      <c r="J279" s="546"/>
      <c r="K279" s="544" t="s">
        <v>90</v>
      </c>
      <c r="L279" s="547"/>
      <c r="M279" s="544" t="s">
        <v>103</v>
      </c>
      <c r="N279" s="547"/>
      <c r="O279" s="547"/>
    </row>
    <row r="280" spans="2:15">
      <c r="C280" s="548">
        <f>IF(D274= "","-",D274)</f>
        <v>2013</v>
      </c>
      <c r="D280" s="506">
        <f>+D273</f>
        <v>5805543</v>
      </c>
      <c r="E280" s="549">
        <f>+I277/12*(12-D275)</f>
        <v>0</v>
      </c>
      <c r="F280" s="506">
        <f>+D280-E280</f>
        <v>5805543</v>
      </c>
      <c r="G280" s="731">
        <f>+$I$96*((D280+F280)/2)+E280</f>
        <v>640505.82357968076</v>
      </c>
      <c r="H280" s="732">
        <f>$I$97*((D280+F280)/2)+E280</f>
        <v>640505.82357968076</v>
      </c>
      <c r="I280" s="552">
        <f>+H280-G280</f>
        <v>0</v>
      </c>
      <c r="J280" s="552"/>
      <c r="K280" s="571">
        <v>461439</v>
      </c>
      <c r="L280" s="553"/>
      <c r="M280" s="571">
        <v>461439</v>
      </c>
      <c r="N280" s="553"/>
      <c r="O280" s="553"/>
    </row>
    <row r="281" spans="2:15">
      <c r="C281" s="548">
        <f>IF(D274="","-",+C280+1)</f>
        <v>2014</v>
      </c>
      <c r="D281" s="506">
        <f t="shared" ref="D281:D339" si="12">F280</f>
        <v>5805543</v>
      </c>
      <c r="E281" s="549">
        <f>IF(D281&gt;$I$277,$I$277,D281)</f>
        <v>161265.08333333334</v>
      </c>
      <c r="F281" s="506">
        <f t="shared" ref="F281:F339" si="13">+D281-E281</f>
        <v>5644277.916666667</v>
      </c>
      <c r="G281" s="554">
        <f t="shared" ref="G281:G339" si="14">+$I$96*((D281+F281)/2)+E281</f>
        <v>792874.99269662972</v>
      </c>
      <c r="H281" s="555">
        <f t="shared" ref="H281:H339" si="15">$I$97*((D281+F281)/2)+E281</f>
        <v>792874.99269662972</v>
      </c>
      <c r="I281" s="552">
        <f t="shared" ref="I281:I339" si="16">+H281-G281</f>
        <v>0</v>
      </c>
      <c r="J281" s="552"/>
      <c r="K281" s="572">
        <v>626067</v>
      </c>
      <c r="L281" s="556"/>
      <c r="M281" s="572">
        <v>626067</v>
      </c>
      <c r="N281" s="556"/>
      <c r="O281" s="556"/>
    </row>
    <row r="282" spans="2:15">
      <c r="C282" s="548">
        <f>IF(D274="","-",+C281+1)</f>
        <v>2015</v>
      </c>
      <c r="D282" s="506">
        <f t="shared" si="12"/>
        <v>5644277.916666667</v>
      </c>
      <c r="E282" s="549">
        <f t="shared" ref="E282:E339" si="17">IF(D282&gt;$I$277,$I$277,D282)</f>
        <v>161265.08333333334</v>
      </c>
      <c r="F282" s="506">
        <f t="shared" si="13"/>
        <v>5483012.833333334</v>
      </c>
      <c r="G282" s="554">
        <f t="shared" si="14"/>
        <v>775083.16426386079</v>
      </c>
      <c r="H282" s="555">
        <f t="shared" si="15"/>
        <v>775083.16426386079</v>
      </c>
      <c r="I282" s="552">
        <f t="shared" si="16"/>
        <v>0</v>
      </c>
      <c r="J282" s="552"/>
      <c r="K282" s="572">
        <v>697699</v>
      </c>
      <c r="L282" s="556"/>
      <c r="M282" s="572">
        <v>697699</v>
      </c>
      <c r="N282" s="556"/>
      <c r="O282" s="556"/>
    </row>
    <row r="283" spans="2:15">
      <c r="C283" s="548">
        <f>IF(D274="","-",+C282+1)</f>
        <v>2016</v>
      </c>
      <c r="D283" s="506">
        <f t="shared" si="12"/>
        <v>5483012.833333334</v>
      </c>
      <c r="E283" s="549">
        <f t="shared" si="17"/>
        <v>161265.08333333334</v>
      </c>
      <c r="F283" s="506">
        <f t="shared" si="13"/>
        <v>5321747.7500000009</v>
      </c>
      <c r="G283" s="554">
        <f t="shared" si="14"/>
        <v>757291.33583109197</v>
      </c>
      <c r="H283" s="555">
        <f t="shared" si="15"/>
        <v>757291.33583109197</v>
      </c>
      <c r="I283" s="552">
        <f t="shared" si="16"/>
        <v>0</v>
      </c>
      <c r="J283" s="552"/>
      <c r="K283" s="572">
        <v>692483</v>
      </c>
      <c r="L283" s="556"/>
      <c r="M283" s="572">
        <v>692483</v>
      </c>
      <c r="N283" s="556"/>
      <c r="O283" s="556"/>
    </row>
    <row r="284" spans="2:15">
      <c r="C284" s="548">
        <f>IF(D274="","-",+C283+1)</f>
        <v>2017</v>
      </c>
      <c r="D284" s="506">
        <f t="shared" si="12"/>
        <v>5321747.7500000009</v>
      </c>
      <c r="E284" s="549">
        <f t="shared" si="17"/>
        <v>161265.08333333334</v>
      </c>
      <c r="F284" s="506">
        <f t="shared" si="13"/>
        <v>5160482.6666666679</v>
      </c>
      <c r="G284" s="554">
        <f t="shared" si="14"/>
        <v>739499.50739832304</v>
      </c>
      <c r="H284" s="555">
        <f t="shared" si="15"/>
        <v>739499.50739832304</v>
      </c>
      <c r="I284" s="552">
        <f t="shared" si="16"/>
        <v>0</v>
      </c>
      <c r="J284" s="552"/>
      <c r="K284" s="572">
        <v>737310</v>
      </c>
      <c r="L284" s="556"/>
      <c r="M284" s="572">
        <v>737310</v>
      </c>
      <c r="N284" s="556"/>
      <c r="O284" s="556"/>
    </row>
    <row r="285" spans="2:15">
      <c r="C285" s="966">
        <f>IF(D274="","-",+C284+1)</f>
        <v>2018</v>
      </c>
      <c r="D285" s="506">
        <f t="shared" si="12"/>
        <v>5160482.6666666679</v>
      </c>
      <c r="E285" s="549">
        <f t="shared" si="17"/>
        <v>161265.08333333334</v>
      </c>
      <c r="F285" s="506">
        <f t="shared" si="13"/>
        <v>4999217.5833333349</v>
      </c>
      <c r="G285" s="554">
        <f t="shared" si="14"/>
        <v>721707.67896555422</v>
      </c>
      <c r="H285" s="555">
        <f t="shared" si="15"/>
        <v>721707.67896555422</v>
      </c>
      <c r="I285" s="552">
        <f t="shared" si="16"/>
        <v>0</v>
      </c>
      <c r="J285" s="552"/>
      <c r="K285" s="572">
        <v>631912</v>
      </c>
      <c r="L285" s="556"/>
      <c r="M285" s="572">
        <v>631912</v>
      </c>
      <c r="N285" s="556"/>
      <c r="O285" s="556"/>
    </row>
    <row r="286" spans="2:15">
      <c r="C286" s="956">
        <f>IF(D274="","-",+C285+1)</f>
        <v>2019</v>
      </c>
      <c r="D286" s="506">
        <f t="shared" si="12"/>
        <v>4999217.5833333349</v>
      </c>
      <c r="E286" s="549">
        <f t="shared" si="17"/>
        <v>161265.08333333334</v>
      </c>
      <c r="F286" s="506">
        <f t="shared" si="13"/>
        <v>4837952.5000000019</v>
      </c>
      <c r="G286" s="554">
        <f t="shared" si="14"/>
        <v>703915.85053278529</v>
      </c>
      <c r="H286" s="555">
        <f t="shared" si="15"/>
        <v>703915.85053278529</v>
      </c>
      <c r="I286" s="552">
        <f t="shared" si="16"/>
        <v>0</v>
      </c>
      <c r="J286" s="552"/>
      <c r="K286" s="572"/>
      <c r="L286" s="556"/>
      <c r="M286" s="572"/>
      <c r="N286" s="556"/>
      <c r="O286" s="556"/>
    </row>
    <row r="287" spans="2:15">
      <c r="C287" s="548">
        <f>IF(D274="","-",+C286+1)</f>
        <v>2020</v>
      </c>
      <c r="D287" s="506">
        <f t="shared" si="12"/>
        <v>4837952.5000000019</v>
      </c>
      <c r="E287" s="549">
        <f t="shared" si="17"/>
        <v>161265.08333333334</v>
      </c>
      <c r="F287" s="506">
        <f t="shared" si="13"/>
        <v>4676687.4166666688</v>
      </c>
      <c r="G287" s="554">
        <f t="shared" si="14"/>
        <v>686124.02210001647</v>
      </c>
      <c r="H287" s="555">
        <f t="shared" si="15"/>
        <v>686124.02210001647</v>
      </c>
      <c r="I287" s="552">
        <f t="shared" si="16"/>
        <v>0</v>
      </c>
      <c r="J287" s="552"/>
      <c r="K287" s="572"/>
      <c r="L287" s="556"/>
      <c r="M287" s="572"/>
      <c r="N287" s="556"/>
      <c r="O287" s="556"/>
    </row>
    <row r="288" spans="2:15">
      <c r="C288" s="548">
        <f>IF(D274="","-",+C287+1)</f>
        <v>2021</v>
      </c>
      <c r="D288" s="506">
        <f t="shared" si="12"/>
        <v>4676687.4166666688</v>
      </c>
      <c r="E288" s="549">
        <f t="shared" si="17"/>
        <v>161265.08333333334</v>
      </c>
      <c r="F288" s="506">
        <f t="shared" si="13"/>
        <v>4515422.3333333358</v>
      </c>
      <c r="G288" s="554">
        <f t="shared" si="14"/>
        <v>668332.19366724743</v>
      </c>
      <c r="H288" s="555">
        <f t="shared" si="15"/>
        <v>668332.19366724743</v>
      </c>
      <c r="I288" s="552">
        <f t="shared" si="16"/>
        <v>0</v>
      </c>
      <c r="J288" s="552"/>
      <c r="K288" s="572"/>
      <c r="L288" s="556"/>
      <c r="M288" s="572"/>
      <c r="N288" s="556"/>
      <c r="O288" s="556"/>
    </row>
    <row r="289" spans="3:15">
      <c r="C289" s="548">
        <f>IF(D274="","-",+C288+1)</f>
        <v>2022</v>
      </c>
      <c r="D289" s="506">
        <f t="shared" si="12"/>
        <v>4515422.3333333358</v>
      </c>
      <c r="E289" s="549">
        <f t="shared" si="17"/>
        <v>161265.08333333334</v>
      </c>
      <c r="F289" s="506">
        <f t="shared" si="13"/>
        <v>4354157.2500000028</v>
      </c>
      <c r="G289" s="554">
        <f t="shared" si="14"/>
        <v>650540.36523447873</v>
      </c>
      <c r="H289" s="555">
        <f t="shared" si="15"/>
        <v>650540.36523447873</v>
      </c>
      <c r="I289" s="552">
        <f t="shared" si="16"/>
        <v>0</v>
      </c>
      <c r="J289" s="552"/>
      <c r="K289" s="572"/>
      <c r="L289" s="556"/>
      <c r="M289" s="572"/>
      <c r="N289" s="556"/>
      <c r="O289" s="556"/>
    </row>
    <row r="290" spans="3:15">
      <c r="C290" s="548">
        <f>IF(D274="","-",+C289+1)</f>
        <v>2023</v>
      </c>
      <c r="D290" s="506">
        <f t="shared" si="12"/>
        <v>4354157.2500000028</v>
      </c>
      <c r="E290" s="549">
        <f t="shared" si="17"/>
        <v>161265.08333333334</v>
      </c>
      <c r="F290" s="506">
        <f t="shared" si="13"/>
        <v>4192892.1666666693</v>
      </c>
      <c r="G290" s="554">
        <f t="shared" si="14"/>
        <v>632748.53680170968</v>
      </c>
      <c r="H290" s="555">
        <f t="shared" si="15"/>
        <v>632748.53680170968</v>
      </c>
      <c r="I290" s="552">
        <f t="shared" si="16"/>
        <v>0</v>
      </c>
      <c r="J290" s="552"/>
      <c r="K290" s="572"/>
      <c r="L290" s="556"/>
      <c r="M290" s="572"/>
      <c r="N290" s="556"/>
      <c r="O290" s="556"/>
    </row>
    <row r="291" spans="3:15">
      <c r="C291" s="548">
        <f>IF(D274="","-",+C290+1)</f>
        <v>2024</v>
      </c>
      <c r="D291" s="506">
        <f t="shared" si="12"/>
        <v>4192892.1666666693</v>
      </c>
      <c r="E291" s="549">
        <f t="shared" si="17"/>
        <v>161265.08333333334</v>
      </c>
      <c r="F291" s="506">
        <f t="shared" si="13"/>
        <v>4031627.0833333358</v>
      </c>
      <c r="G291" s="554">
        <f t="shared" si="14"/>
        <v>614956.70836894086</v>
      </c>
      <c r="H291" s="555">
        <f t="shared" si="15"/>
        <v>614956.70836894086</v>
      </c>
      <c r="I291" s="552">
        <f t="shared" si="16"/>
        <v>0</v>
      </c>
      <c r="J291" s="552"/>
      <c r="K291" s="572"/>
      <c r="L291" s="556"/>
      <c r="M291" s="572"/>
      <c r="N291" s="556"/>
      <c r="O291" s="556"/>
    </row>
    <row r="292" spans="3:15">
      <c r="C292" s="548">
        <f>IF(D274="","-",+C291+1)</f>
        <v>2025</v>
      </c>
      <c r="D292" s="506">
        <f t="shared" si="12"/>
        <v>4031627.0833333358</v>
      </c>
      <c r="E292" s="549">
        <f t="shared" si="17"/>
        <v>161265.08333333334</v>
      </c>
      <c r="F292" s="506">
        <f t="shared" si="13"/>
        <v>3870362.0000000023</v>
      </c>
      <c r="G292" s="554">
        <f t="shared" si="14"/>
        <v>597164.87993617181</v>
      </c>
      <c r="H292" s="555">
        <f t="shared" si="15"/>
        <v>597164.87993617181</v>
      </c>
      <c r="I292" s="552">
        <f t="shared" si="16"/>
        <v>0</v>
      </c>
      <c r="J292" s="552"/>
      <c r="K292" s="572"/>
      <c r="L292" s="556"/>
      <c r="M292" s="572"/>
      <c r="N292" s="557"/>
      <c r="O292" s="556"/>
    </row>
    <row r="293" spans="3:15">
      <c r="C293" s="548">
        <f>IF(D274="","-",+C292+1)</f>
        <v>2026</v>
      </c>
      <c r="D293" s="506">
        <f t="shared" si="12"/>
        <v>3870362.0000000023</v>
      </c>
      <c r="E293" s="549">
        <f t="shared" si="17"/>
        <v>161265.08333333334</v>
      </c>
      <c r="F293" s="506">
        <f t="shared" si="13"/>
        <v>3709096.9166666688</v>
      </c>
      <c r="G293" s="554">
        <f t="shared" si="14"/>
        <v>579373.051503403</v>
      </c>
      <c r="H293" s="555">
        <f t="shared" si="15"/>
        <v>579373.051503403</v>
      </c>
      <c r="I293" s="552">
        <f t="shared" si="16"/>
        <v>0</v>
      </c>
      <c r="J293" s="552"/>
      <c r="K293" s="572"/>
      <c r="L293" s="556"/>
      <c r="M293" s="572"/>
      <c r="N293" s="556"/>
      <c r="O293" s="556"/>
    </row>
    <row r="294" spans="3:15">
      <c r="C294" s="548">
        <f>IF(D274="","-",+C293+1)</f>
        <v>2027</v>
      </c>
      <c r="D294" s="506">
        <f t="shared" si="12"/>
        <v>3709096.9166666688</v>
      </c>
      <c r="E294" s="549">
        <f t="shared" si="17"/>
        <v>161265.08333333334</v>
      </c>
      <c r="F294" s="506">
        <f t="shared" si="13"/>
        <v>3547831.8333333354</v>
      </c>
      <c r="G294" s="554">
        <f t="shared" si="14"/>
        <v>561581.22307063406</v>
      </c>
      <c r="H294" s="555">
        <f t="shared" si="15"/>
        <v>561581.22307063406</v>
      </c>
      <c r="I294" s="552">
        <f t="shared" si="16"/>
        <v>0</v>
      </c>
      <c r="J294" s="552"/>
      <c r="K294" s="572"/>
      <c r="L294" s="556"/>
      <c r="M294" s="572"/>
      <c r="N294" s="556"/>
      <c r="O294" s="556"/>
    </row>
    <row r="295" spans="3:15">
      <c r="C295" s="548">
        <f>IF(D274="","-",+C294+1)</f>
        <v>2028</v>
      </c>
      <c r="D295" s="506">
        <f t="shared" si="12"/>
        <v>3547831.8333333354</v>
      </c>
      <c r="E295" s="549">
        <f t="shared" si="17"/>
        <v>161265.08333333334</v>
      </c>
      <c r="F295" s="506">
        <f t="shared" si="13"/>
        <v>3386566.7500000019</v>
      </c>
      <c r="G295" s="554">
        <f t="shared" si="14"/>
        <v>543789.39463786513</v>
      </c>
      <c r="H295" s="555">
        <f t="shared" si="15"/>
        <v>543789.39463786513</v>
      </c>
      <c r="I295" s="552">
        <f t="shared" si="16"/>
        <v>0</v>
      </c>
      <c r="J295" s="552"/>
      <c r="K295" s="572"/>
      <c r="L295" s="556"/>
      <c r="M295" s="572"/>
      <c r="N295" s="556"/>
      <c r="O295" s="556"/>
    </row>
    <row r="296" spans="3:15">
      <c r="C296" s="548">
        <f>IF(D274="","-",+C295+1)</f>
        <v>2029</v>
      </c>
      <c r="D296" s="506">
        <f t="shared" si="12"/>
        <v>3386566.7500000019</v>
      </c>
      <c r="E296" s="549">
        <f t="shared" si="17"/>
        <v>161265.08333333334</v>
      </c>
      <c r="F296" s="506">
        <f t="shared" si="13"/>
        <v>3225301.6666666684</v>
      </c>
      <c r="G296" s="554">
        <f t="shared" si="14"/>
        <v>525997.5662050962</v>
      </c>
      <c r="H296" s="555">
        <f t="shared" si="15"/>
        <v>525997.5662050962</v>
      </c>
      <c r="I296" s="552">
        <f t="shared" si="16"/>
        <v>0</v>
      </c>
      <c r="J296" s="552"/>
      <c r="K296" s="572"/>
      <c r="L296" s="556"/>
      <c r="M296" s="572"/>
      <c r="N296" s="556"/>
      <c r="O296" s="556"/>
    </row>
    <row r="297" spans="3:15">
      <c r="C297" s="548">
        <f>IF(D274="","-",+C296+1)</f>
        <v>2030</v>
      </c>
      <c r="D297" s="506">
        <f t="shared" si="12"/>
        <v>3225301.6666666684</v>
      </c>
      <c r="E297" s="549">
        <f t="shared" si="17"/>
        <v>161265.08333333334</v>
      </c>
      <c r="F297" s="506">
        <f t="shared" si="13"/>
        <v>3064036.5833333349</v>
      </c>
      <c r="G297" s="554">
        <f t="shared" si="14"/>
        <v>508205.73777232727</v>
      </c>
      <c r="H297" s="555">
        <f t="shared" si="15"/>
        <v>508205.73777232727</v>
      </c>
      <c r="I297" s="552">
        <f t="shared" si="16"/>
        <v>0</v>
      </c>
      <c r="J297" s="552"/>
      <c r="K297" s="572"/>
      <c r="L297" s="556"/>
      <c r="M297" s="572"/>
      <c r="N297" s="556"/>
      <c r="O297" s="556"/>
    </row>
    <row r="298" spans="3:15">
      <c r="C298" s="548">
        <f>IF(D274="","-",+C297+1)</f>
        <v>2031</v>
      </c>
      <c r="D298" s="506">
        <f t="shared" si="12"/>
        <v>3064036.5833333349</v>
      </c>
      <c r="E298" s="549">
        <f t="shared" si="17"/>
        <v>161265.08333333334</v>
      </c>
      <c r="F298" s="506">
        <f t="shared" si="13"/>
        <v>2902771.5000000014</v>
      </c>
      <c r="G298" s="554">
        <f t="shared" si="14"/>
        <v>490413.90933955833</v>
      </c>
      <c r="H298" s="555">
        <f t="shared" si="15"/>
        <v>490413.90933955833</v>
      </c>
      <c r="I298" s="552">
        <f t="shared" si="16"/>
        <v>0</v>
      </c>
      <c r="J298" s="552"/>
      <c r="K298" s="572"/>
      <c r="L298" s="556"/>
      <c r="M298" s="572"/>
      <c r="N298" s="556"/>
      <c r="O298" s="556"/>
    </row>
    <row r="299" spans="3:15">
      <c r="C299" s="548">
        <f>IF(D274="","-",+C298+1)</f>
        <v>2032</v>
      </c>
      <c r="D299" s="506">
        <f t="shared" si="12"/>
        <v>2902771.5000000014</v>
      </c>
      <c r="E299" s="549">
        <f t="shared" si="17"/>
        <v>161265.08333333334</v>
      </c>
      <c r="F299" s="506">
        <f t="shared" si="13"/>
        <v>2741506.4166666679</v>
      </c>
      <c r="G299" s="554">
        <f t="shared" si="14"/>
        <v>472622.0809067894</v>
      </c>
      <c r="H299" s="555">
        <f t="shared" si="15"/>
        <v>472622.0809067894</v>
      </c>
      <c r="I299" s="552">
        <f t="shared" si="16"/>
        <v>0</v>
      </c>
      <c r="J299" s="552"/>
      <c r="K299" s="572"/>
      <c r="L299" s="556"/>
      <c r="M299" s="572"/>
      <c r="N299" s="556"/>
      <c r="O299" s="556"/>
    </row>
    <row r="300" spans="3:15">
      <c r="C300" s="548">
        <f>IF(D274="","-",+C299+1)</f>
        <v>2033</v>
      </c>
      <c r="D300" s="506">
        <f t="shared" si="12"/>
        <v>2741506.4166666679</v>
      </c>
      <c r="E300" s="549">
        <f t="shared" si="17"/>
        <v>161265.08333333334</v>
      </c>
      <c r="F300" s="506">
        <f t="shared" si="13"/>
        <v>2580241.3333333344</v>
      </c>
      <c r="G300" s="554">
        <f t="shared" si="14"/>
        <v>454830.25247402047</v>
      </c>
      <c r="H300" s="555">
        <f t="shared" si="15"/>
        <v>454830.25247402047</v>
      </c>
      <c r="I300" s="552">
        <f t="shared" si="16"/>
        <v>0</v>
      </c>
      <c r="J300" s="552"/>
      <c r="K300" s="572"/>
      <c r="L300" s="556"/>
      <c r="M300" s="572"/>
      <c r="N300" s="556"/>
      <c r="O300" s="556"/>
    </row>
    <row r="301" spans="3:15">
      <c r="C301" s="548">
        <f>IF(D274="","-",+C300+1)</f>
        <v>2034</v>
      </c>
      <c r="D301" s="506">
        <f t="shared" si="12"/>
        <v>2580241.3333333344</v>
      </c>
      <c r="E301" s="549">
        <f t="shared" si="17"/>
        <v>161265.08333333334</v>
      </c>
      <c r="F301" s="506">
        <f t="shared" si="13"/>
        <v>2418976.2500000009</v>
      </c>
      <c r="G301" s="554">
        <f t="shared" si="14"/>
        <v>437038.42404125154</v>
      </c>
      <c r="H301" s="555">
        <f t="shared" si="15"/>
        <v>437038.42404125154</v>
      </c>
      <c r="I301" s="552">
        <f t="shared" si="16"/>
        <v>0</v>
      </c>
      <c r="J301" s="552"/>
      <c r="K301" s="572"/>
      <c r="L301" s="556"/>
      <c r="M301" s="572"/>
      <c r="N301" s="556"/>
      <c r="O301" s="556"/>
    </row>
    <row r="302" spans="3:15">
      <c r="C302" s="548">
        <f>IF(D274="","-",+C301+1)</f>
        <v>2035</v>
      </c>
      <c r="D302" s="506">
        <f t="shared" si="12"/>
        <v>2418976.2500000009</v>
      </c>
      <c r="E302" s="549">
        <f t="shared" si="17"/>
        <v>161265.08333333334</v>
      </c>
      <c r="F302" s="506">
        <f t="shared" si="13"/>
        <v>2257711.1666666674</v>
      </c>
      <c r="G302" s="554">
        <f t="shared" si="14"/>
        <v>419246.5956084826</v>
      </c>
      <c r="H302" s="555">
        <f t="shared" si="15"/>
        <v>419246.5956084826</v>
      </c>
      <c r="I302" s="552">
        <f t="shared" si="16"/>
        <v>0</v>
      </c>
      <c r="J302" s="552"/>
      <c r="K302" s="572"/>
      <c r="L302" s="556"/>
      <c r="M302" s="572"/>
      <c r="N302" s="556"/>
      <c r="O302" s="556"/>
    </row>
    <row r="303" spans="3:15">
      <c r="C303" s="548">
        <f>IF(D274="","-",+C302+1)</f>
        <v>2036</v>
      </c>
      <c r="D303" s="506">
        <f t="shared" si="12"/>
        <v>2257711.1666666674</v>
      </c>
      <c r="E303" s="549">
        <f t="shared" si="17"/>
        <v>161265.08333333334</v>
      </c>
      <c r="F303" s="506">
        <f t="shared" si="13"/>
        <v>2096446.0833333342</v>
      </c>
      <c r="G303" s="554">
        <f t="shared" si="14"/>
        <v>401454.76717571373</v>
      </c>
      <c r="H303" s="555">
        <f t="shared" si="15"/>
        <v>401454.76717571373</v>
      </c>
      <c r="I303" s="552">
        <f t="shared" si="16"/>
        <v>0</v>
      </c>
      <c r="J303" s="552"/>
      <c r="K303" s="572"/>
      <c r="L303" s="556"/>
      <c r="M303" s="572"/>
      <c r="N303" s="556"/>
      <c r="O303" s="556"/>
    </row>
    <row r="304" spans="3:15">
      <c r="C304" s="548">
        <f>IF(D274="","-",+C303+1)</f>
        <v>2037</v>
      </c>
      <c r="D304" s="506">
        <f t="shared" si="12"/>
        <v>2096446.0833333342</v>
      </c>
      <c r="E304" s="549">
        <f t="shared" si="17"/>
        <v>161265.08333333334</v>
      </c>
      <c r="F304" s="506">
        <f t="shared" si="13"/>
        <v>1935181.0000000009</v>
      </c>
      <c r="G304" s="554">
        <f t="shared" si="14"/>
        <v>383662.9387429448</v>
      </c>
      <c r="H304" s="555">
        <f t="shared" si="15"/>
        <v>383662.9387429448</v>
      </c>
      <c r="I304" s="552">
        <f t="shared" si="16"/>
        <v>0</v>
      </c>
      <c r="J304" s="552"/>
      <c r="K304" s="572"/>
      <c r="L304" s="556"/>
      <c r="M304" s="572"/>
      <c r="N304" s="556"/>
      <c r="O304" s="556"/>
    </row>
    <row r="305" spans="3:15">
      <c r="C305" s="548">
        <f>IF(D274="","-",+C304+1)</f>
        <v>2038</v>
      </c>
      <c r="D305" s="506">
        <f t="shared" si="12"/>
        <v>1935181.0000000009</v>
      </c>
      <c r="E305" s="549">
        <f t="shared" si="17"/>
        <v>161265.08333333334</v>
      </c>
      <c r="F305" s="506">
        <f t="shared" si="13"/>
        <v>1773915.9166666677</v>
      </c>
      <c r="G305" s="554">
        <f t="shared" si="14"/>
        <v>365871.11031017592</v>
      </c>
      <c r="H305" s="555">
        <f t="shared" si="15"/>
        <v>365871.11031017592</v>
      </c>
      <c r="I305" s="552">
        <f t="shared" si="16"/>
        <v>0</v>
      </c>
      <c r="J305" s="552"/>
      <c r="K305" s="572"/>
      <c r="L305" s="556"/>
      <c r="M305" s="572"/>
      <c r="N305" s="556"/>
      <c r="O305" s="556"/>
    </row>
    <row r="306" spans="3:15">
      <c r="C306" s="548">
        <f>IF(D274="","-",+C305+1)</f>
        <v>2039</v>
      </c>
      <c r="D306" s="506">
        <f t="shared" si="12"/>
        <v>1773915.9166666677</v>
      </c>
      <c r="E306" s="549">
        <f t="shared" si="17"/>
        <v>161265.08333333334</v>
      </c>
      <c r="F306" s="506">
        <f t="shared" si="13"/>
        <v>1612650.8333333344</v>
      </c>
      <c r="G306" s="554">
        <f t="shared" si="14"/>
        <v>348079.28187740699</v>
      </c>
      <c r="H306" s="555">
        <f t="shared" si="15"/>
        <v>348079.28187740699</v>
      </c>
      <c r="I306" s="552">
        <f t="shared" si="16"/>
        <v>0</v>
      </c>
      <c r="J306" s="552"/>
      <c r="K306" s="572"/>
      <c r="L306" s="556"/>
      <c r="M306" s="572"/>
      <c r="N306" s="556"/>
      <c r="O306" s="556"/>
    </row>
    <row r="307" spans="3:15">
      <c r="C307" s="548">
        <f>IF(D274="","-",+C306+1)</f>
        <v>2040</v>
      </c>
      <c r="D307" s="506">
        <f t="shared" si="12"/>
        <v>1612650.8333333344</v>
      </c>
      <c r="E307" s="549">
        <f t="shared" si="17"/>
        <v>161265.08333333334</v>
      </c>
      <c r="F307" s="506">
        <f t="shared" si="13"/>
        <v>1451385.7500000012</v>
      </c>
      <c r="G307" s="554">
        <f t="shared" si="14"/>
        <v>330287.45344463811</v>
      </c>
      <c r="H307" s="555">
        <f t="shared" si="15"/>
        <v>330287.45344463811</v>
      </c>
      <c r="I307" s="552">
        <f t="shared" si="16"/>
        <v>0</v>
      </c>
      <c r="J307" s="552"/>
      <c r="K307" s="572"/>
      <c r="L307" s="556"/>
      <c r="M307" s="572"/>
      <c r="N307" s="556"/>
      <c r="O307" s="556"/>
    </row>
    <row r="308" spans="3:15">
      <c r="C308" s="548">
        <f>IF(D274="","-",+C307+1)</f>
        <v>2041</v>
      </c>
      <c r="D308" s="506">
        <f t="shared" si="12"/>
        <v>1451385.7500000012</v>
      </c>
      <c r="E308" s="549">
        <f t="shared" si="17"/>
        <v>161265.08333333334</v>
      </c>
      <c r="F308" s="506">
        <f t="shared" si="13"/>
        <v>1290120.6666666679</v>
      </c>
      <c r="G308" s="550">
        <f t="shared" si="14"/>
        <v>312495.62501186918</v>
      </c>
      <c r="H308" s="555">
        <f t="shared" si="15"/>
        <v>312495.62501186918</v>
      </c>
      <c r="I308" s="552">
        <f t="shared" si="16"/>
        <v>0</v>
      </c>
      <c r="J308" s="552"/>
      <c r="K308" s="572"/>
      <c r="L308" s="556"/>
      <c r="M308" s="572"/>
      <c r="N308" s="556"/>
      <c r="O308" s="556"/>
    </row>
    <row r="309" spans="3:15">
      <c r="C309" s="548">
        <f>IF(D274="","-",+C308+1)</f>
        <v>2042</v>
      </c>
      <c r="D309" s="506">
        <f t="shared" si="12"/>
        <v>1290120.6666666679</v>
      </c>
      <c r="E309" s="549">
        <f t="shared" si="17"/>
        <v>161265.08333333334</v>
      </c>
      <c r="F309" s="506">
        <f t="shared" si="13"/>
        <v>1128855.5833333347</v>
      </c>
      <c r="G309" s="554">
        <f t="shared" si="14"/>
        <v>294703.79657910031</v>
      </c>
      <c r="H309" s="555">
        <f t="shared" si="15"/>
        <v>294703.79657910031</v>
      </c>
      <c r="I309" s="552">
        <f t="shared" si="16"/>
        <v>0</v>
      </c>
      <c r="J309" s="552"/>
      <c r="K309" s="572"/>
      <c r="L309" s="556"/>
      <c r="M309" s="572"/>
      <c r="N309" s="556"/>
      <c r="O309" s="556"/>
    </row>
    <row r="310" spans="3:15">
      <c r="C310" s="548">
        <f>IF(D274="","-",+C309+1)</f>
        <v>2043</v>
      </c>
      <c r="D310" s="506">
        <f t="shared" si="12"/>
        <v>1128855.5833333347</v>
      </c>
      <c r="E310" s="549">
        <f t="shared" si="17"/>
        <v>161265.08333333334</v>
      </c>
      <c r="F310" s="506">
        <f t="shared" si="13"/>
        <v>967590.50000000128</v>
      </c>
      <c r="G310" s="554">
        <f t="shared" si="14"/>
        <v>276911.96814633138</v>
      </c>
      <c r="H310" s="555">
        <f t="shared" si="15"/>
        <v>276911.96814633138</v>
      </c>
      <c r="I310" s="552">
        <f t="shared" si="16"/>
        <v>0</v>
      </c>
      <c r="J310" s="552"/>
      <c r="K310" s="572"/>
      <c r="L310" s="556"/>
      <c r="M310" s="572"/>
      <c r="N310" s="556"/>
      <c r="O310" s="556"/>
    </row>
    <row r="311" spans="3:15">
      <c r="C311" s="548">
        <f>IF(D274="","-",+C310+1)</f>
        <v>2044</v>
      </c>
      <c r="D311" s="506">
        <f t="shared" si="12"/>
        <v>967590.50000000128</v>
      </c>
      <c r="E311" s="549">
        <f t="shared" si="17"/>
        <v>161265.08333333334</v>
      </c>
      <c r="F311" s="506">
        <f t="shared" si="13"/>
        <v>806325.41666666791</v>
      </c>
      <c r="G311" s="554">
        <f t="shared" si="14"/>
        <v>259120.1397135625</v>
      </c>
      <c r="H311" s="555">
        <f t="shared" si="15"/>
        <v>259120.1397135625</v>
      </c>
      <c r="I311" s="552">
        <f t="shared" si="16"/>
        <v>0</v>
      </c>
      <c r="J311" s="552"/>
      <c r="K311" s="572"/>
      <c r="L311" s="556"/>
      <c r="M311" s="572"/>
      <c r="N311" s="556"/>
      <c r="O311" s="556"/>
    </row>
    <row r="312" spans="3:15">
      <c r="C312" s="548">
        <f>IF(D274="","-",+C311+1)</f>
        <v>2045</v>
      </c>
      <c r="D312" s="506">
        <f t="shared" si="12"/>
        <v>806325.41666666791</v>
      </c>
      <c r="E312" s="549">
        <f t="shared" si="17"/>
        <v>161265.08333333334</v>
      </c>
      <c r="F312" s="506">
        <f t="shared" si="13"/>
        <v>645060.33333333454</v>
      </c>
      <c r="G312" s="554">
        <f t="shared" si="14"/>
        <v>241328.31128079357</v>
      </c>
      <c r="H312" s="555">
        <f t="shared" si="15"/>
        <v>241328.31128079357</v>
      </c>
      <c r="I312" s="552">
        <f t="shared" si="16"/>
        <v>0</v>
      </c>
      <c r="J312" s="552"/>
      <c r="K312" s="572"/>
      <c r="L312" s="556"/>
      <c r="M312" s="572"/>
      <c r="N312" s="556"/>
      <c r="O312" s="556"/>
    </row>
    <row r="313" spans="3:15">
      <c r="C313" s="548">
        <f>IF(D274="","-",+C312+1)</f>
        <v>2046</v>
      </c>
      <c r="D313" s="506">
        <f t="shared" si="12"/>
        <v>645060.33333333454</v>
      </c>
      <c r="E313" s="549">
        <f t="shared" si="17"/>
        <v>161265.08333333334</v>
      </c>
      <c r="F313" s="506">
        <f t="shared" si="13"/>
        <v>483795.25000000116</v>
      </c>
      <c r="G313" s="554">
        <f t="shared" si="14"/>
        <v>223536.48284802467</v>
      </c>
      <c r="H313" s="555">
        <f t="shared" si="15"/>
        <v>223536.48284802467</v>
      </c>
      <c r="I313" s="552">
        <f t="shared" si="16"/>
        <v>0</v>
      </c>
      <c r="J313" s="552"/>
      <c r="K313" s="572"/>
      <c r="L313" s="556"/>
      <c r="M313" s="572"/>
      <c r="N313" s="556"/>
      <c r="O313" s="556"/>
    </row>
    <row r="314" spans="3:15">
      <c r="C314" s="548">
        <f>IF(D274="","-",+C313+1)</f>
        <v>2047</v>
      </c>
      <c r="D314" s="506">
        <f t="shared" si="12"/>
        <v>483795.25000000116</v>
      </c>
      <c r="E314" s="549">
        <f t="shared" si="17"/>
        <v>161265.08333333334</v>
      </c>
      <c r="F314" s="506">
        <f t="shared" si="13"/>
        <v>322530.16666666779</v>
      </c>
      <c r="G314" s="554">
        <f t="shared" si="14"/>
        <v>205744.65441525573</v>
      </c>
      <c r="H314" s="555">
        <f t="shared" si="15"/>
        <v>205744.65441525573</v>
      </c>
      <c r="I314" s="552">
        <f t="shared" si="16"/>
        <v>0</v>
      </c>
      <c r="J314" s="552"/>
      <c r="K314" s="572"/>
      <c r="L314" s="556"/>
      <c r="M314" s="572"/>
      <c r="N314" s="556"/>
      <c r="O314" s="556"/>
    </row>
    <row r="315" spans="3:15">
      <c r="C315" s="548">
        <f>IF(D274="","-",+C314+1)</f>
        <v>2048</v>
      </c>
      <c r="D315" s="506">
        <f t="shared" si="12"/>
        <v>322530.16666666779</v>
      </c>
      <c r="E315" s="549">
        <f t="shared" si="17"/>
        <v>161265.08333333334</v>
      </c>
      <c r="F315" s="506">
        <f t="shared" si="13"/>
        <v>161265.08333333445</v>
      </c>
      <c r="G315" s="554">
        <f t="shared" si="14"/>
        <v>187952.82598248683</v>
      </c>
      <c r="H315" s="555">
        <f t="shared" si="15"/>
        <v>187952.82598248683</v>
      </c>
      <c r="I315" s="552">
        <f t="shared" si="16"/>
        <v>0</v>
      </c>
      <c r="J315" s="552"/>
      <c r="K315" s="572"/>
      <c r="L315" s="556"/>
      <c r="M315" s="572"/>
      <c r="N315" s="556"/>
      <c r="O315" s="556"/>
    </row>
    <row r="316" spans="3:15">
      <c r="C316" s="548">
        <f>IF(D274="","-",+C315+1)</f>
        <v>2049</v>
      </c>
      <c r="D316" s="506">
        <f t="shared" si="12"/>
        <v>161265.08333333445</v>
      </c>
      <c r="E316" s="549">
        <f t="shared" si="17"/>
        <v>161265.08333333334</v>
      </c>
      <c r="F316" s="506">
        <f t="shared" si="13"/>
        <v>1.1059455573558807E-9</v>
      </c>
      <c r="G316" s="554">
        <f t="shared" si="14"/>
        <v>170160.99754971793</v>
      </c>
      <c r="H316" s="555">
        <f t="shared" si="15"/>
        <v>170160.99754971793</v>
      </c>
      <c r="I316" s="552">
        <f t="shared" si="16"/>
        <v>0</v>
      </c>
      <c r="J316" s="552"/>
      <c r="K316" s="572"/>
      <c r="L316" s="556"/>
      <c r="M316" s="572"/>
      <c r="N316" s="556"/>
      <c r="O316" s="556"/>
    </row>
    <row r="317" spans="3:15">
      <c r="C317" s="548">
        <f>IF(D274="","-",+C316+1)</f>
        <v>2050</v>
      </c>
      <c r="D317" s="506">
        <f t="shared" si="12"/>
        <v>1.1059455573558807E-9</v>
      </c>
      <c r="E317" s="549">
        <f t="shared" si="17"/>
        <v>1.1059455573558807E-9</v>
      </c>
      <c r="F317" s="506">
        <f t="shared" si="13"/>
        <v>0</v>
      </c>
      <c r="G317" s="554">
        <f t="shared" si="14"/>
        <v>1.1669531642281852E-9</v>
      </c>
      <c r="H317" s="555">
        <f t="shared" si="15"/>
        <v>1.1669531642281852E-9</v>
      </c>
      <c r="I317" s="552">
        <f t="shared" si="16"/>
        <v>0</v>
      </c>
      <c r="J317" s="552"/>
      <c r="K317" s="572"/>
      <c r="L317" s="556"/>
      <c r="M317" s="572"/>
      <c r="N317" s="556"/>
      <c r="O317" s="556"/>
    </row>
    <row r="318" spans="3:15">
      <c r="C318" s="548">
        <f>IF(D274="","-",+C317+1)</f>
        <v>2051</v>
      </c>
      <c r="D318" s="506">
        <f t="shared" si="12"/>
        <v>0</v>
      </c>
      <c r="E318" s="549">
        <f t="shared" si="17"/>
        <v>0</v>
      </c>
      <c r="F318" s="506">
        <f t="shared" si="13"/>
        <v>0</v>
      </c>
      <c r="G318" s="554">
        <f t="shared" si="14"/>
        <v>0</v>
      </c>
      <c r="H318" s="555">
        <f t="shared" si="15"/>
        <v>0</v>
      </c>
      <c r="I318" s="552">
        <f t="shared" si="16"/>
        <v>0</v>
      </c>
      <c r="J318" s="552"/>
      <c r="K318" s="572"/>
      <c r="L318" s="556"/>
      <c r="M318" s="572"/>
      <c r="N318" s="556"/>
      <c r="O318" s="556"/>
    </row>
    <row r="319" spans="3:15">
      <c r="C319" s="548">
        <f>IF(D274="","-",+C318+1)</f>
        <v>2052</v>
      </c>
      <c r="D319" s="506">
        <f t="shared" si="12"/>
        <v>0</v>
      </c>
      <c r="E319" s="549">
        <f t="shared" si="17"/>
        <v>0</v>
      </c>
      <c r="F319" s="506">
        <f t="shared" si="13"/>
        <v>0</v>
      </c>
      <c r="G319" s="554">
        <f t="shared" si="14"/>
        <v>0</v>
      </c>
      <c r="H319" s="555">
        <f t="shared" si="15"/>
        <v>0</v>
      </c>
      <c r="I319" s="552">
        <f t="shared" si="16"/>
        <v>0</v>
      </c>
      <c r="J319" s="552"/>
      <c r="K319" s="572"/>
      <c r="L319" s="556"/>
      <c r="M319" s="572"/>
      <c r="N319" s="556"/>
      <c r="O319" s="556"/>
    </row>
    <row r="320" spans="3:15">
      <c r="C320" s="548">
        <f>IF(D274="","-",+C319+1)</f>
        <v>2053</v>
      </c>
      <c r="D320" s="506">
        <f t="shared" si="12"/>
        <v>0</v>
      </c>
      <c r="E320" s="549">
        <f t="shared" si="17"/>
        <v>0</v>
      </c>
      <c r="F320" s="506">
        <f t="shared" si="13"/>
        <v>0</v>
      </c>
      <c r="G320" s="554">
        <f t="shared" si="14"/>
        <v>0</v>
      </c>
      <c r="H320" s="555">
        <f t="shared" si="15"/>
        <v>0</v>
      </c>
      <c r="I320" s="552">
        <f t="shared" si="16"/>
        <v>0</v>
      </c>
      <c r="J320" s="552"/>
      <c r="K320" s="572"/>
      <c r="L320" s="556"/>
      <c r="M320" s="572"/>
      <c r="N320" s="556"/>
      <c r="O320" s="556"/>
    </row>
    <row r="321" spans="3:15">
      <c r="C321" s="548">
        <f>IF(D274="","-",+C320+1)</f>
        <v>2054</v>
      </c>
      <c r="D321" s="506">
        <f t="shared" si="12"/>
        <v>0</v>
      </c>
      <c r="E321" s="549">
        <f t="shared" si="17"/>
        <v>0</v>
      </c>
      <c r="F321" s="506">
        <f t="shared" si="13"/>
        <v>0</v>
      </c>
      <c r="G321" s="554">
        <f t="shared" si="14"/>
        <v>0</v>
      </c>
      <c r="H321" s="555">
        <f t="shared" si="15"/>
        <v>0</v>
      </c>
      <c r="I321" s="552">
        <f t="shared" si="16"/>
        <v>0</v>
      </c>
      <c r="J321" s="552"/>
      <c r="K321" s="572"/>
      <c r="L321" s="556"/>
      <c r="M321" s="572"/>
      <c r="N321" s="556"/>
      <c r="O321" s="556"/>
    </row>
    <row r="322" spans="3:15">
      <c r="C322" s="548">
        <f>IF(D274="","-",+C321+1)</f>
        <v>2055</v>
      </c>
      <c r="D322" s="506">
        <f t="shared" si="12"/>
        <v>0</v>
      </c>
      <c r="E322" s="549">
        <f t="shared" si="17"/>
        <v>0</v>
      </c>
      <c r="F322" s="506">
        <f t="shared" si="13"/>
        <v>0</v>
      </c>
      <c r="G322" s="554">
        <f t="shared" si="14"/>
        <v>0</v>
      </c>
      <c r="H322" s="555">
        <f t="shared" si="15"/>
        <v>0</v>
      </c>
      <c r="I322" s="552">
        <f t="shared" si="16"/>
        <v>0</v>
      </c>
      <c r="J322" s="552"/>
      <c r="K322" s="572"/>
      <c r="L322" s="556"/>
      <c r="M322" s="572"/>
      <c r="N322" s="556"/>
      <c r="O322" s="556"/>
    </row>
    <row r="323" spans="3:15">
      <c r="C323" s="548">
        <f>IF(D274="","-",+C322+1)</f>
        <v>2056</v>
      </c>
      <c r="D323" s="506">
        <f t="shared" si="12"/>
        <v>0</v>
      </c>
      <c r="E323" s="549">
        <f t="shared" si="17"/>
        <v>0</v>
      </c>
      <c r="F323" s="506">
        <f t="shared" si="13"/>
        <v>0</v>
      </c>
      <c r="G323" s="554">
        <f t="shared" si="14"/>
        <v>0</v>
      </c>
      <c r="H323" s="555">
        <f t="shared" si="15"/>
        <v>0</v>
      </c>
      <c r="I323" s="552">
        <f t="shared" si="16"/>
        <v>0</v>
      </c>
      <c r="J323" s="552"/>
      <c r="K323" s="572"/>
      <c r="L323" s="556"/>
      <c r="M323" s="572"/>
      <c r="N323" s="556"/>
      <c r="O323" s="556"/>
    </row>
    <row r="324" spans="3:15">
      <c r="C324" s="548">
        <f>IF(D274="","-",+C323+1)</f>
        <v>2057</v>
      </c>
      <c r="D324" s="506">
        <f t="shared" si="12"/>
        <v>0</v>
      </c>
      <c r="E324" s="549">
        <f t="shared" si="17"/>
        <v>0</v>
      </c>
      <c r="F324" s="506">
        <f t="shared" si="13"/>
        <v>0</v>
      </c>
      <c r="G324" s="554">
        <f t="shared" si="14"/>
        <v>0</v>
      </c>
      <c r="H324" s="555">
        <f t="shared" si="15"/>
        <v>0</v>
      </c>
      <c r="I324" s="552">
        <f t="shared" si="16"/>
        <v>0</v>
      </c>
      <c r="J324" s="552"/>
      <c r="K324" s="572"/>
      <c r="L324" s="556"/>
      <c r="M324" s="572"/>
      <c r="N324" s="556"/>
      <c r="O324" s="556"/>
    </row>
    <row r="325" spans="3:15">
      <c r="C325" s="548">
        <f>IF(D274="","-",+C324+1)</f>
        <v>2058</v>
      </c>
      <c r="D325" s="506">
        <f t="shared" si="12"/>
        <v>0</v>
      </c>
      <c r="E325" s="549">
        <f t="shared" si="17"/>
        <v>0</v>
      </c>
      <c r="F325" s="506">
        <f t="shared" si="13"/>
        <v>0</v>
      </c>
      <c r="G325" s="554">
        <f t="shared" si="14"/>
        <v>0</v>
      </c>
      <c r="H325" s="555">
        <f t="shared" si="15"/>
        <v>0</v>
      </c>
      <c r="I325" s="552">
        <f t="shared" si="16"/>
        <v>0</v>
      </c>
      <c r="J325" s="552"/>
      <c r="K325" s="572"/>
      <c r="L325" s="556"/>
      <c r="M325" s="572"/>
      <c r="N325" s="556"/>
      <c r="O325" s="556"/>
    </row>
    <row r="326" spans="3:15">
      <c r="C326" s="548">
        <f>IF(D274="","-",+C325+1)</f>
        <v>2059</v>
      </c>
      <c r="D326" s="506">
        <f t="shared" si="12"/>
        <v>0</v>
      </c>
      <c r="E326" s="549">
        <f t="shared" si="17"/>
        <v>0</v>
      </c>
      <c r="F326" s="506">
        <f t="shared" si="13"/>
        <v>0</v>
      </c>
      <c r="G326" s="554">
        <f t="shared" si="14"/>
        <v>0</v>
      </c>
      <c r="H326" s="555">
        <f t="shared" si="15"/>
        <v>0</v>
      </c>
      <c r="I326" s="552">
        <f t="shared" si="16"/>
        <v>0</v>
      </c>
      <c r="J326" s="552"/>
      <c r="K326" s="572"/>
      <c r="L326" s="556"/>
      <c r="M326" s="572"/>
      <c r="N326" s="556"/>
      <c r="O326" s="556"/>
    </row>
    <row r="327" spans="3:15">
      <c r="C327" s="548">
        <f>IF(D274="","-",+C326+1)</f>
        <v>2060</v>
      </c>
      <c r="D327" s="506">
        <f t="shared" si="12"/>
        <v>0</v>
      </c>
      <c r="E327" s="549">
        <f t="shared" si="17"/>
        <v>0</v>
      </c>
      <c r="F327" s="506">
        <f t="shared" si="13"/>
        <v>0</v>
      </c>
      <c r="G327" s="554">
        <f t="shared" si="14"/>
        <v>0</v>
      </c>
      <c r="H327" s="555">
        <f t="shared" si="15"/>
        <v>0</v>
      </c>
      <c r="I327" s="552">
        <f t="shared" si="16"/>
        <v>0</v>
      </c>
      <c r="J327" s="552"/>
      <c r="K327" s="572"/>
      <c r="L327" s="556"/>
      <c r="M327" s="572"/>
      <c r="N327" s="556"/>
      <c r="O327" s="556"/>
    </row>
    <row r="328" spans="3:15">
      <c r="C328" s="548">
        <f>IF(D274="","-",+C327+1)</f>
        <v>2061</v>
      </c>
      <c r="D328" s="506">
        <f t="shared" si="12"/>
        <v>0</v>
      </c>
      <c r="E328" s="549">
        <f t="shared" si="17"/>
        <v>0</v>
      </c>
      <c r="F328" s="506">
        <f t="shared" si="13"/>
        <v>0</v>
      </c>
      <c r="G328" s="554">
        <f t="shared" si="14"/>
        <v>0</v>
      </c>
      <c r="H328" s="555">
        <f t="shared" si="15"/>
        <v>0</v>
      </c>
      <c r="I328" s="552">
        <f t="shared" si="16"/>
        <v>0</v>
      </c>
      <c r="J328" s="552"/>
      <c r="K328" s="572"/>
      <c r="L328" s="556"/>
      <c r="M328" s="572"/>
      <c r="N328" s="556"/>
      <c r="O328" s="556"/>
    </row>
    <row r="329" spans="3:15">
      <c r="C329" s="548">
        <f>IF(D274="","-",+C328+1)</f>
        <v>2062</v>
      </c>
      <c r="D329" s="506">
        <f t="shared" si="12"/>
        <v>0</v>
      </c>
      <c r="E329" s="549">
        <f t="shared" si="17"/>
        <v>0</v>
      </c>
      <c r="F329" s="506">
        <f t="shared" si="13"/>
        <v>0</v>
      </c>
      <c r="G329" s="554">
        <f t="shared" si="14"/>
        <v>0</v>
      </c>
      <c r="H329" s="555">
        <f t="shared" si="15"/>
        <v>0</v>
      </c>
      <c r="I329" s="552">
        <f t="shared" si="16"/>
        <v>0</v>
      </c>
      <c r="J329" s="552"/>
      <c r="K329" s="572"/>
      <c r="L329" s="556"/>
      <c r="M329" s="572"/>
      <c r="N329" s="556"/>
      <c r="O329" s="556"/>
    </row>
    <row r="330" spans="3:15">
      <c r="C330" s="548">
        <f>IF(D274="","-",+C329+1)</f>
        <v>2063</v>
      </c>
      <c r="D330" s="506">
        <f t="shared" si="12"/>
        <v>0</v>
      </c>
      <c r="E330" s="549">
        <f t="shared" si="17"/>
        <v>0</v>
      </c>
      <c r="F330" s="506">
        <f t="shared" si="13"/>
        <v>0</v>
      </c>
      <c r="G330" s="554">
        <f t="shared" si="14"/>
        <v>0</v>
      </c>
      <c r="H330" s="555">
        <f t="shared" si="15"/>
        <v>0</v>
      </c>
      <c r="I330" s="552">
        <f t="shared" si="16"/>
        <v>0</v>
      </c>
      <c r="J330" s="552"/>
      <c r="K330" s="572"/>
      <c r="L330" s="556"/>
      <c r="M330" s="572"/>
      <c r="N330" s="556"/>
      <c r="O330" s="556"/>
    </row>
    <row r="331" spans="3:15">
      <c r="C331" s="548">
        <f>IF(D274="","-",+C330+1)</f>
        <v>2064</v>
      </c>
      <c r="D331" s="506">
        <f t="shared" si="12"/>
        <v>0</v>
      </c>
      <c r="E331" s="549">
        <f t="shared" si="17"/>
        <v>0</v>
      </c>
      <c r="F331" s="506">
        <f t="shared" si="13"/>
        <v>0</v>
      </c>
      <c r="G331" s="554">
        <f t="shared" si="14"/>
        <v>0</v>
      </c>
      <c r="H331" s="555">
        <f t="shared" si="15"/>
        <v>0</v>
      </c>
      <c r="I331" s="552">
        <f t="shared" si="16"/>
        <v>0</v>
      </c>
      <c r="J331" s="552"/>
      <c r="K331" s="572"/>
      <c r="L331" s="556"/>
      <c r="M331" s="572"/>
      <c r="N331" s="556"/>
      <c r="O331" s="556"/>
    </row>
    <row r="332" spans="3:15">
      <c r="C332" s="548">
        <f>IF(D274="","-",+C331+1)</f>
        <v>2065</v>
      </c>
      <c r="D332" s="506">
        <f t="shared" si="12"/>
        <v>0</v>
      </c>
      <c r="E332" s="549">
        <f t="shared" si="17"/>
        <v>0</v>
      </c>
      <c r="F332" s="506">
        <f t="shared" si="13"/>
        <v>0</v>
      </c>
      <c r="G332" s="554">
        <f t="shared" si="14"/>
        <v>0</v>
      </c>
      <c r="H332" s="555">
        <f t="shared" si="15"/>
        <v>0</v>
      </c>
      <c r="I332" s="552">
        <f t="shared" si="16"/>
        <v>0</v>
      </c>
      <c r="J332" s="552"/>
      <c r="K332" s="572"/>
      <c r="L332" s="556"/>
      <c r="M332" s="572"/>
      <c r="N332" s="556"/>
      <c r="O332" s="556"/>
    </row>
    <row r="333" spans="3:15">
      <c r="C333" s="548">
        <f>IF(D274="","-",+C332+1)</f>
        <v>2066</v>
      </c>
      <c r="D333" s="506">
        <f t="shared" si="12"/>
        <v>0</v>
      </c>
      <c r="E333" s="549">
        <f t="shared" si="17"/>
        <v>0</v>
      </c>
      <c r="F333" s="506">
        <f t="shared" si="13"/>
        <v>0</v>
      </c>
      <c r="G333" s="554">
        <f t="shared" si="14"/>
        <v>0</v>
      </c>
      <c r="H333" s="555">
        <f t="shared" si="15"/>
        <v>0</v>
      </c>
      <c r="I333" s="552">
        <f t="shared" si="16"/>
        <v>0</v>
      </c>
      <c r="J333" s="552"/>
      <c r="K333" s="572"/>
      <c r="L333" s="556"/>
      <c r="M333" s="572"/>
      <c r="N333" s="556"/>
      <c r="O333" s="556"/>
    </row>
    <row r="334" spans="3:15">
      <c r="C334" s="548">
        <f>IF(D274="","-",+C333+1)</f>
        <v>2067</v>
      </c>
      <c r="D334" s="506">
        <f t="shared" si="12"/>
        <v>0</v>
      </c>
      <c r="E334" s="549">
        <f t="shared" si="17"/>
        <v>0</v>
      </c>
      <c r="F334" s="506">
        <f t="shared" si="13"/>
        <v>0</v>
      </c>
      <c r="G334" s="554">
        <f t="shared" si="14"/>
        <v>0</v>
      </c>
      <c r="H334" s="555">
        <f t="shared" si="15"/>
        <v>0</v>
      </c>
      <c r="I334" s="552">
        <f t="shared" si="16"/>
        <v>0</v>
      </c>
      <c r="J334" s="552"/>
      <c r="K334" s="572"/>
      <c r="L334" s="556"/>
      <c r="M334" s="572"/>
      <c r="N334" s="556"/>
      <c r="O334" s="556"/>
    </row>
    <row r="335" spans="3:15">
      <c r="C335" s="548">
        <f>IF(D274="","-",+C334+1)</f>
        <v>2068</v>
      </c>
      <c r="D335" s="506">
        <f t="shared" si="12"/>
        <v>0</v>
      </c>
      <c r="E335" s="549">
        <f t="shared" si="17"/>
        <v>0</v>
      </c>
      <c r="F335" s="506">
        <f t="shared" si="13"/>
        <v>0</v>
      </c>
      <c r="G335" s="554">
        <f t="shared" si="14"/>
        <v>0</v>
      </c>
      <c r="H335" s="555">
        <f t="shared" si="15"/>
        <v>0</v>
      </c>
      <c r="I335" s="552">
        <f t="shared" si="16"/>
        <v>0</v>
      </c>
      <c r="J335" s="552"/>
      <c r="K335" s="572"/>
      <c r="L335" s="556"/>
      <c r="M335" s="572"/>
      <c r="N335" s="556"/>
      <c r="O335" s="556"/>
    </row>
    <row r="336" spans="3:15">
      <c r="C336" s="548">
        <f>IF(D274="","-",+C335+1)</f>
        <v>2069</v>
      </c>
      <c r="D336" s="506">
        <f t="shared" si="12"/>
        <v>0</v>
      </c>
      <c r="E336" s="549">
        <f t="shared" si="17"/>
        <v>0</v>
      </c>
      <c r="F336" s="506">
        <f t="shared" si="13"/>
        <v>0</v>
      </c>
      <c r="G336" s="554">
        <f t="shared" si="14"/>
        <v>0</v>
      </c>
      <c r="H336" s="555">
        <f t="shared" si="15"/>
        <v>0</v>
      </c>
      <c r="I336" s="552">
        <f t="shared" si="16"/>
        <v>0</v>
      </c>
      <c r="J336" s="552"/>
      <c r="K336" s="572"/>
      <c r="L336" s="556"/>
      <c r="M336" s="572"/>
      <c r="N336" s="556"/>
      <c r="O336" s="556"/>
    </row>
    <row r="337" spans="1:16">
      <c r="C337" s="548">
        <f>IF(D274="","-",+C336+1)</f>
        <v>2070</v>
      </c>
      <c r="D337" s="506">
        <f t="shared" si="12"/>
        <v>0</v>
      </c>
      <c r="E337" s="549">
        <f t="shared" si="17"/>
        <v>0</v>
      </c>
      <c r="F337" s="506">
        <f t="shared" si="13"/>
        <v>0</v>
      </c>
      <c r="G337" s="554">
        <f t="shared" si="14"/>
        <v>0</v>
      </c>
      <c r="H337" s="555">
        <f t="shared" si="15"/>
        <v>0</v>
      </c>
      <c r="I337" s="552">
        <f t="shared" si="16"/>
        <v>0</v>
      </c>
      <c r="J337" s="552"/>
      <c r="K337" s="572"/>
      <c r="L337" s="556"/>
      <c r="M337" s="572"/>
      <c r="N337" s="556"/>
      <c r="O337" s="556"/>
    </row>
    <row r="338" spans="1:16">
      <c r="C338" s="548">
        <f>IF(D274="","-",+C337+1)</f>
        <v>2071</v>
      </c>
      <c r="D338" s="506">
        <f t="shared" si="12"/>
        <v>0</v>
      </c>
      <c r="E338" s="549">
        <f t="shared" si="17"/>
        <v>0</v>
      </c>
      <c r="F338" s="506">
        <f t="shared" si="13"/>
        <v>0</v>
      </c>
      <c r="G338" s="554">
        <f t="shared" si="14"/>
        <v>0</v>
      </c>
      <c r="H338" s="555">
        <f t="shared" si="15"/>
        <v>0</v>
      </c>
      <c r="I338" s="552">
        <f t="shared" si="16"/>
        <v>0</v>
      </c>
      <c r="J338" s="552"/>
      <c r="K338" s="572"/>
      <c r="L338" s="556"/>
      <c r="M338" s="572"/>
      <c r="N338" s="556"/>
      <c r="O338" s="556"/>
    </row>
    <row r="339" spans="1:16" ht="13.5" thickBot="1">
      <c r="C339" s="558">
        <f>IF(D274="","-",+C338+1)</f>
        <v>2072</v>
      </c>
      <c r="D339" s="559">
        <f t="shared" si="12"/>
        <v>0</v>
      </c>
      <c r="E339" s="560">
        <f t="shared" si="17"/>
        <v>0</v>
      </c>
      <c r="F339" s="559">
        <f t="shared" si="13"/>
        <v>0</v>
      </c>
      <c r="G339" s="561">
        <f t="shared" si="14"/>
        <v>0</v>
      </c>
      <c r="H339" s="561">
        <f t="shared" si="15"/>
        <v>0</v>
      </c>
      <c r="I339" s="562">
        <f t="shared" si="16"/>
        <v>0</v>
      </c>
      <c r="J339" s="552"/>
      <c r="K339" s="573"/>
      <c r="L339" s="563"/>
      <c r="M339" s="573"/>
      <c r="N339" s="563"/>
      <c r="O339" s="563"/>
    </row>
    <row r="340" spans="1:16">
      <c r="C340" s="506" t="s">
        <v>91</v>
      </c>
      <c r="D340" s="503"/>
      <c r="E340" s="503">
        <f>SUM(E280:E339)</f>
        <v>5805543</v>
      </c>
      <c r="F340" s="503"/>
      <c r="G340" s="503">
        <f>SUM(G280:G339)</f>
        <v>17975153.648013946</v>
      </c>
      <c r="H340" s="503">
        <f>SUM(H280:H339)</f>
        <v>17975153.648013946</v>
      </c>
      <c r="I340" s="503">
        <f>SUM(I280:I339)</f>
        <v>0</v>
      </c>
      <c r="J340" s="503"/>
      <c r="K340" s="503"/>
      <c r="L340" s="503"/>
      <c r="M340" s="503"/>
      <c r="N340" s="503"/>
      <c r="O340" s="3"/>
    </row>
    <row r="341" spans="1:16">
      <c r="D341" s="47"/>
      <c r="E341" s="3"/>
      <c r="F341" s="3"/>
      <c r="G341" s="3"/>
      <c r="H341" s="490"/>
      <c r="I341" s="490"/>
      <c r="J341" s="503"/>
      <c r="K341" s="490"/>
      <c r="L341" s="490"/>
      <c r="M341" s="490"/>
      <c r="N341" s="490"/>
      <c r="O341" s="3"/>
    </row>
    <row r="342" spans="1:16">
      <c r="C342" s="3" t="s">
        <v>13</v>
      </c>
      <c r="D342" s="47"/>
      <c r="E342" s="3"/>
      <c r="F342" s="3"/>
      <c r="G342" s="3"/>
      <c r="H342" s="490"/>
      <c r="I342" s="490"/>
      <c r="J342" s="503"/>
      <c r="K342" s="490"/>
      <c r="L342" s="490"/>
      <c r="M342" s="490"/>
      <c r="N342" s="490"/>
      <c r="O342" s="3"/>
    </row>
    <row r="343" spans="1:16">
      <c r="C343" s="3"/>
      <c r="D343" s="47"/>
      <c r="E343" s="3"/>
      <c r="F343" s="3"/>
      <c r="G343" s="3"/>
      <c r="H343" s="490"/>
      <c r="I343" s="490"/>
      <c r="J343" s="503"/>
      <c r="K343" s="490"/>
      <c r="L343" s="490"/>
      <c r="M343" s="490"/>
      <c r="N343" s="490"/>
      <c r="O343" s="3"/>
    </row>
    <row r="344" spans="1:16">
      <c r="C344" s="518" t="s">
        <v>14</v>
      </c>
      <c r="D344" s="506"/>
      <c r="E344" s="506"/>
      <c r="F344" s="506"/>
      <c r="G344" s="503"/>
      <c r="H344" s="503"/>
      <c r="I344" s="564"/>
      <c r="J344" s="564"/>
      <c r="K344" s="564"/>
      <c r="L344" s="564"/>
      <c r="M344" s="564"/>
      <c r="N344" s="564"/>
      <c r="O344" s="3"/>
    </row>
    <row r="345" spans="1:16">
      <c r="C345" s="507" t="s">
        <v>271</v>
      </c>
      <c r="D345" s="506"/>
      <c r="E345" s="506"/>
      <c r="F345" s="506"/>
      <c r="G345" s="503"/>
      <c r="H345" s="503"/>
      <c r="I345" s="564"/>
      <c r="J345" s="564"/>
      <c r="K345" s="564"/>
      <c r="L345" s="564"/>
      <c r="M345" s="564"/>
      <c r="N345" s="564"/>
      <c r="O345" s="3"/>
    </row>
    <row r="346" spans="1:16">
      <c r="C346" s="507" t="s">
        <v>92</v>
      </c>
      <c r="D346" s="506"/>
      <c r="E346" s="506"/>
      <c r="F346" s="506"/>
      <c r="G346" s="503"/>
      <c r="H346" s="503"/>
      <c r="I346" s="564"/>
      <c r="J346" s="564"/>
      <c r="K346" s="564"/>
      <c r="L346" s="564"/>
      <c r="M346" s="564"/>
      <c r="N346" s="564"/>
      <c r="O346" s="3"/>
    </row>
    <row r="347" spans="1:16">
      <c r="C347" s="507"/>
      <c r="D347" s="506"/>
      <c r="E347" s="506"/>
      <c r="F347" s="506"/>
      <c r="G347" s="503"/>
      <c r="H347" s="503"/>
      <c r="I347" s="564"/>
      <c r="J347" s="564"/>
      <c r="K347" s="564"/>
      <c r="L347" s="564"/>
      <c r="M347" s="564"/>
      <c r="N347" s="564"/>
      <c r="O347" s="3"/>
    </row>
    <row r="348" spans="1:16">
      <c r="C348" s="1209" t="s">
        <v>6</v>
      </c>
      <c r="D348" s="1209"/>
      <c r="E348" s="1209"/>
      <c r="F348" s="1209"/>
      <c r="G348" s="1209"/>
      <c r="H348" s="1209"/>
      <c r="I348" s="1209"/>
      <c r="J348" s="1209"/>
      <c r="K348" s="1209"/>
      <c r="L348" s="1209"/>
      <c r="M348" s="1209"/>
      <c r="N348" s="1209"/>
      <c r="O348" s="1209"/>
    </row>
    <row r="349" spans="1:16">
      <c r="C349" s="1209"/>
      <c r="D349" s="1209"/>
      <c r="E349" s="1209"/>
      <c r="F349" s="1209"/>
      <c r="G349" s="1209"/>
      <c r="H349" s="1209"/>
      <c r="I349" s="1209"/>
      <c r="J349" s="1209"/>
      <c r="K349" s="1209"/>
      <c r="L349" s="1209"/>
      <c r="M349" s="1209"/>
      <c r="N349" s="1209"/>
      <c r="O349" s="1209"/>
    </row>
    <row r="350" spans="1:16" ht="20.25">
      <c r="A350" s="447" t="str">
        <f>""&amp;A274&amp;" Worksheet J -  ATRR PROJECTED Calculation for PJM Projects Charged to Benefiting Zones"</f>
        <v xml:space="preserve"> Worksheet J -  ATRR PROJECTED Calculation for PJM Projects Charged to Benefiting Zones</v>
      </c>
      <c r="B350" s="3"/>
      <c r="C350" s="3"/>
      <c r="D350" s="47"/>
      <c r="E350" s="3"/>
      <c r="F350" s="489"/>
      <c r="G350" s="3"/>
      <c r="H350" s="490"/>
      <c r="K350" s="398"/>
      <c r="L350" s="398"/>
      <c r="M350" s="398"/>
      <c r="N350" s="398" t="str">
        <f>"Page "&amp;SUM(P$8:P350)&amp;" of "</f>
        <v xml:space="preserve">Page 5 of </v>
      </c>
      <c r="O350" s="448">
        <f>COUNT(P$8:P$56656)</f>
        <v>11</v>
      </c>
      <c r="P350">
        <v>1</v>
      </c>
    </row>
    <row r="351" spans="1:16">
      <c r="B351" s="3"/>
      <c r="C351" s="3"/>
      <c r="D351" s="47"/>
      <c r="E351" s="3"/>
      <c r="F351" s="3"/>
      <c r="G351" s="3"/>
      <c r="H351" s="490"/>
      <c r="I351" s="3"/>
      <c r="J351" s="3"/>
      <c r="K351" s="3"/>
      <c r="L351" s="3"/>
      <c r="M351" s="3"/>
      <c r="N351" s="3"/>
      <c r="O351" s="3"/>
    </row>
    <row r="352" spans="1:16" ht="18">
      <c r="B352" s="449" t="s">
        <v>472</v>
      </c>
      <c r="C352" s="122" t="s">
        <v>93</v>
      </c>
      <c r="D352" s="47"/>
      <c r="E352" s="3"/>
      <c r="F352" s="3"/>
      <c r="G352" s="3"/>
      <c r="H352" s="490"/>
      <c r="I352" s="490"/>
      <c r="J352" s="503"/>
      <c r="K352" s="490"/>
      <c r="L352" s="490"/>
      <c r="M352" s="490"/>
      <c r="N352" s="490"/>
      <c r="O352" s="3"/>
    </row>
    <row r="353" spans="2:15" ht="18.75">
      <c r="B353" s="449"/>
      <c r="C353" s="6"/>
      <c r="D353" s="47"/>
      <c r="E353" s="3"/>
      <c r="F353" s="3"/>
      <c r="G353" s="3"/>
      <c r="H353" s="490"/>
      <c r="I353" s="490"/>
      <c r="J353" s="503"/>
      <c r="K353" s="490"/>
      <c r="L353" s="490"/>
      <c r="M353" s="490"/>
      <c r="N353" s="490"/>
      <c r="O353" s="3"/>
    </row>
    <row r="354" spans="2:15" ht="18.75">
      <c r="B354" s="449"/>
      <c r="C354" s="6" t="s">
        <v>94</v>
      </c>
      <c r="D354" s="47"/>
      <c r="E354" s="3"/>
      <c r="F354" s="3"/>
      <c r="G354" s="3"/>
      <c r="H354" s="490"/>
      <c r="I354" s="490"/>
      <c r="J354" s="503"/>
      <c r="K354" s="490"/>
      <c r="L354" s="490"/>
      <c r="M354" s="490"/>
      <c r="N354" s="490"/>
      <c r="O354" s="3"/>
    </row>
    <row r="355" spans="2:15" ht="15.75" thickBot="1">
      <c r="C355" s="132"/>
      <c r="D355" s="47"/>
      <c r="E355" s="3"/>
      <c r="F355" s="3"/>
      <c r="G355" s="3"/>
      <c r="H355" s="490"/>
      <c r="I355" s="490"/>
      <c r="J355" s="503"/>
      <c r="K355" s="490"/>
      <c r="L355" s="490"/>
      <c r="M355" s="490"/>
      <c r="N355" s="490"/>
      <c r="O355" s="3"/>
    </row>
    <row r="356" spans="2:15" ht="15.75">
      <c r="C356" s="451" t="s">
        <v>95</v>
      </c>
      <c r="D356" s="47"/>
      <c r="E356" s="3"/>
      <c r="F356" s="3"/>
      <c r="G356" s="566"/>
      <c r="H356" s="3" t="s">
        <v>74</v>
      </c>
      <c r="I356" s="3"/>
      <c r="J356" s="3"/>
      <c r="K356" s="509" t="s">
        <v>99</v>
      </c>
      <c r="L356" s="510"/>
      <c r="M356" s="511"/>
      <c r="N356" s="512">
        <f>IF(I362=0,0,VLOOKUP(I362,C369:O428,5))</f>
        <v>6783907.7210833868</v>
      </c>
      <c r="O356" s="3"/>
    </row>
    <row r="357" spans="2:15" ht="15.75">
      <c r="C357" s="451"/>
      <c r="D357" s="47"/>
      <c r="E357" s="3"/>
      <c r="F357" s="3"/>
      <c r="G357" s="3"/>
      <c r="H357" s="513"/>
      <c r="I357" s="513"/>
      <c r="J357" s="514"/>
      <c r="K357" s="515" t="s">
        <v>100</v>
      </c>
      <c r="L357" s="516"/>
      <c r="M357" s="3"/>
      <c r="N357" s="517">
        <f>IF(I362=0,0,VLOOKUP(I362,C369:O428,6))</f>
        <v>6783907.7210833868</v>
      </c>
      <c r="O357" s="3"/>
    </row>
    <row r="358" spans="2:15" ht="13.5" thickBot="1">
      <c r="C358" s="518" t="s">
        <v>96</v>
      </c>
      <c r="D358" s="1210" t="s">
        <v>816</v>
      </c>
      <c r="E358" s="1210"/>
      <c r="F358" s="1210"/>
      <c r="G358" s="1210"/>
      <c r="H358" s="1210"/>
      <c r="I358" s="1210"/>
      <c r="J358" s="503"/>
      <c r="K358" s="519" t="s">
        <v>238</v>
      </c>
      <c r="L358" s="520"/>
      <c r="M358" s="520"/>
      <c r="N358" s="521">
        <f>+N357-N356</f>
        <v>0</v>
      </c>
      <c r="O358" s="3"/>
    </row>
    <row r="359" spans="2:15">
      <c r="C359" s="522"/>
      <c r="D359" s="1210"/>
      <c r="E359" s="1210"/>
      <c r="F359" s="1210"/>
      <c r="G359" s="1210"/>
      <c r="H359" s="1210"/>
      <c r="I359" s="1210"/>
      <c r="J359" s="503"/>
      <c r="K359" s="490"/>
      <c r="L359" s="490"/>
      <c r="M359" s="490"/>
      <c r="N359" s="490"/>
      <c r="O359" s="3"/>
    </row>
    <row r="360" spans="2:15" ht="13.5" thickBot="1">
      <c r="C360" s="522"/>
      <c r="D360" s="3"/>
      <c r="E360" s="524"/>
      <c r="F360" s="524"/>
      <c r="G360" s="524"/>
      <c r="H360" s="524"/>
      <c r="I360" s="524"/>
      <c r="J360" s="524"/>
      <c r="K360" s="524"/>
      <c r="L360" s="524"/>
      <c r="M360" s="524"/>
      <c r="N360" s="524"/>
      <c r="O360" s="3"/>
    </row>
    <row r="361" spans="2:15" ht="13.5" thickBot="1">
      <c r="C361" s="525" t="s">
        <v>97</v>
      </c>
      <c r="D361" s="526"/>
      <c r="E361" s="526"/>
      <c r="F361" s="526"/>
      <c r="G361" s="526"/>
      <c r="H361" s="526"/>
      <c r="I361" s="527"/>
      <c r="K361" s="3"/>
      <c r="L361" s="3"/>
      <c r="M361" s="3"/>
      <c r="N361" s="3"/>
      <c r="O361" s="3"/>
    </row>
    <row r="362" spans="2:15" ht="15">
      <c r="C362" s="528" t="s">
        <v>75</v>
      </c>
      <c r="D362" s="568">
        <v>64354283</v>
      </c>
      <c r="E362" s="3" t="s">
        <v>76</v>
      </c>
      <c r="G362" s="47"/>
      <c r="H362" s="47"/>
      <c r="I362" s="529">
        <f>$L$26</f>
        <v>2025</v>
      </c>
      <c r="J362" s="70"/>
      <c r="K362" s="1211" t="s">
        <v>247</v>
      </c>
      <c r="L362" s="1211"/>
      <c r="M362" s="1211"/>
      <c r="N362" s="1211"/>
      <c r="O362" s="1211"/>
    </row>
    <row r="363" spans="2:15">
      <c r="C363" s="528" t="s">
        <v>78</v>
      </c>
      <c r="D363" s="569">
        <v>2014</v>
      </c>
      <c r="E363" s="528" t="s">
        <v>79</v>
      </c>
      <c r="F363" s="47"/>
      <c r="H363"/>
      <c r="I363" s="570">
        <f>IF(G356="",0,$F$17)</f>
        <v>0</v>
      </c>
      <c r="J363" s="530"/>
      <c r="K363" s="503" t="s">
        <v>247</v>
      </c>
    </row>
    <row r="364" spans="2:15">
      <c r="C364" s="528" t="s">
        <v>80</v>
      </c>
      <c r="D364" s="568">
        <v>10</v>
      </c>
      <c r="E364" s="528" t="s">
        <v>81</v>
      </c>
      <c r="F364" s="47"/>
      <c r="H364"/>
      <c r="I364" s="531">
        <f>$G$70</f>
        <v>0.11032660055737779</v>
      </c>
      <c r="J364" s="489"/>
      <c r="K364" t="str">
        <f>"          INPUT PROJECTED ARR (WITH &amp; WITHOUT INCENTIVES) FROM EACH PRIOR YEAR"</f>
        <v xml:space="preserve">          INPUT PROJECTED ARR (WITH &amp; WITHOUT INCENTIVES) FROM EACH PRIOR YEAR</v>
      </c>
    </row>
    <row r="365" spans="2:15">
      <c r="C365" s="528" t="s">
        <v>82</v>
      </c>
      <c r="D365" s="532">
        <f>$G$79</f>
        <v>36</v>
      </c>
      <c r="E365" s="528" t="s">
        <v>83</v>
      </c>
      <c r="F365" s="47"/>
      <c r="H365"/>
      <c r="I365" s="531">
        <f>IF(G356="",I364,$G$69)</f>
        <v>0.11032660055737779</v>
      </c>
      <c r="J365" s="489"/>
      <c r="K365" t="s">
        <v>160</v>
      </c>
    </row>
    <row r="366" spans="2:15" ht="13.5" thickBot="1">
      <c r="C366" s="528" t="s">
        <v>84</v>
      </c>
      <c r="D366" s="567" t="s">
        <v>812</v>
      </c>
      <c r="E366" s="533" t="s">
        <v>85</v>
      </c>
      <c r="F366" s="534"/>
      <c r="G366" s="535"/>
      <c r="H366" s="535"/>
      <c r="I366" s="521">
        <f>IF(D362=0,0,D362/D365)</f>
        <v>1787618.9722222222</v>
      </c>
      <c r="J366" s="503"/>
      <c r="K366" s="503" t="s">
        <v>166</v>
      </c>
      <c r="L366" s="503"/>
      <c r="M366" s="503"/>
      <c r="N366" s="503"/>
      <c r="O366" s="3"/>
    </row>
    <row r="367" spans="2:15" ht="51">
      <c r="B367" s="450"/>
      <c r="C367" s="536" t="s">
        <v>75</v>
      </c>
      <c r="D367" s="537" t="s">
        <v>86</v>
      </c>
      <c r="E367" s="538" t="s">
        <v>87</v>
      </c>
      <c r="F367" s="537" t="s">
        <v>88</v>
      </c>
      <c r="G367" s="538" t="s">
        <v>159</v>
      </c>
      <c r="H367" s="539" t="s">
        <v>159</v>
      </c>
      <c r="I367" s="536" t="s">
        <v>98</v>
      </c>
      <c r="J367" s="540"/>
      <c r="K367" s="538" t="s">
        <v>168</v>
      </c>
      <c r="L367" s="541"/>
      <c r="M367" s="538" t="s">
        <v>168</v>
      </c>
      <c r="N367" s="541"/>
      <c r="O367" s="541"/>
    </row>
    <row r="368" spans="2:15" ht="13.5" thickBot="1">
      <c r="C368" s="542" t="s">
        <v>475</v>
      </c>
      <c r="D368" s="543" t="s">
        <v>476</v>
      </c>
      <c r="E368" s="542" t="s">
        <v>369</v>
      </c>
      <c r="F368" s="543" t="s">
        <v>476</v>
      </c>
      <c r="G368" s="544" t="s">
        <v>101</v>
      </c>
      <c r="H368" s="545" t="s">
        <v>103</v>
      </c>
      <c r="I368" s="542" t="s">
        <v>15</v>
      </c>
      <c r="J368" s="546"/>
      <c r="K368" s="544" t="s">
        <v>90</v>
      </c>
      <c r="L368" s="547"/>
      <c r="M368" s="544" t="s">
        <v>103</v>
      </c>
      <c r="N368" s="547"/>
      <c r="O368" s="547"/>
    </row>
    <row r="369" spans="3:15">
      <c r="C369" s="548">
        <f>IF(D363= "","-",D363)</f>
        <v>2014</v>
      </c>
      <c r="D369" s="506">
        <f>+D362</f>
        <v>64354283</v>
      </c>
      <c r="E369" s="549">
        <f>+I366/12*(12-D364)</f>
        <v>297936.49537037039</v>
      </c>
      <c r="F369" s="506">
        <f>+D369-E369</f>
        <v>64056346.504629627</v>
      </c>
      <c r="G369" s="731">
        <f>+$I$96*((D369+F369)/2)+E369</f>
        <v>7381490.6097097229</v>
      </c>
      <c r="H369" s="732">
        <f>$I$97*((D369+F369)/2)+E369</f>
        <v>7381490.6097097229</v>
      </c>
      <c r="I369" s="552">
        <f>+H369-G369</f>
        <v>0</v>
      </c>
      <c r="J369" s="552"/>
      <c r="K369" s="571" t="s">
        <v>817</v>
      </c>
      <c r="L369" s="553"/>
      <c r="M369" s="571" t="s">
        <v>818</v>
      </c>
      <c r="N369" s="553"/>
      <c r="O369" s="553"/>
    </row>
    <row r="370" spans="3:15">
      <c r="C370" s="548">
        <f>IF(D363="","-",+C369+1)</f>
        <v>2015</v>
      </c>
      <c r="D370" s="506">
        <f t="shared" ref="D370:D428" si="18">F369</f>
        <v>64056346.504629627</v>
      </c>
      <c r="E370" s="549">
        <f>IF(D370&gt;$I$366,$I$366,D370)</f>
        <v>1787618.9722222222</v>
      </c>
      <c r="F370" s="506">
        <f t="shared" ref="F370:F428" si="19">+D370-E370</f>
        <v>62268727.532407403</v>
      </c>
      <c r="G370" s="554">
        <f t="shared" ref="G370:G428" si="20">+$I$96*((D370+F370)/2)+E370</f>
        <v>8756126.964054903</v>
      </c>
      <c r="H370" s="555">
        <f t="shared" ref="H370:H428" si="21">$I$97*((D370+F370)/2)+E370</f>
        <v>8756126.964054903</v>
      </c>
      <c r="I370" s="552">
        <f t="shared" ref="I370:I428" si="22">+H370-G370</f>
        <v>0</v>
      </c>
      <c r="J370" s="552"/>
      <c r="K370" s="572">
        <v>1745562</v>
      </c>
      <c r="L370" s="556"/>
      <c r="M370" s="572">
        <v>1745562</v>
      </c>
      <c r="N370" s="556"/>
      <c r="O370" s="556"/>
    </row>
    <row r="371" spans="3:15">
      <c r="C371" s="548">
        <f>IF(D363="","-",+C370+1)</f>
        <v>2016</v>
      </c>
      <c r="D371" s="506">
        <f t="shared" si="18"/>
        <v>62268727.532407403</v>
      </c>
      <c r="E371" s="549">
        <f t="shared" ref="E371:E428" si="23">IF(D371&gt;$I$366,$I$366,D371)</f>
        <v>1787618.9722222222</v>
      </c>
      <c r="F371" s="506">
        <f t="shared" si="19"/>
        <v>60481108.560185179</v>
      </c>
      <c r="G371" s="554">
        <f t="shared" si="20"/>
        <v>8558905.0397577509</v>
      </c>
      <c r="H371" s="555">
        <f t="shared" si="21"/>
        <v>8558905.0397577509</v>
      </c>
      <c r="I371" s="552">
        <f t="shared" si="22"/>
        <v>0</v>
      </c>
      <c r="J371" s="552"/>
      <c r="K371" s="572">
        <v>1596924</v>
      </c>
      <c r="L371" s="556"/>
      <c r="M371" s="572">
        <v>1596924</v>
      </c>
      <c r="N371" s="556"/>
      <c r="O371" s="556"/>
    </row>
    <row r="372" spans="3:15">
      <c r="C372" s="548">
        <f>IF(D363="","-",+C371+1)</f>
        <v>2017</v>
      </c>
      <c r="D372" s="506">
        <f t="shared" si="18"/>
        <v>60481108.560185179</v>
      </c>
      <c r="E372" s="549">
        <f t="shared" si="23"/>
        <v>1787618.9722222222</v>
      </c>
      <c r="F372" s="506">
        <f t="shared" si="19"/>
        <v>58693489.587962955</v>
      </c>
      <c r="G372" s="554">
        <f t="shared" si="20"/>
        <v>8361683.1154605988</v>
      </c>
      <c r="H372" s="555">
        <f t="shared" si="21"/>
        <v>8361683.1154605988</v>
      </c>
      <c r="I372" s="552">
        <f t="shared" si="22"/>
        <v>0</v>
      </c>
      <c r="J372" s="552"/>
      <c r="K372" s="572">
        <v>8620533</v>
      </c>
      <c r="L372" s="556"/>
      <c r="M372" s="572">
        <v>8620533</v>
      </c>
      <c r="N372" s="556"/>
      <c r="O372" s="556"/>
    </row>
    <row r="373" spans="3:15">
      <c r="C373" s="966">
        <f>IF(D363="","-",+C372+1)</f>
        <v>2018</v>
      </c>
      <c r="D373" s="506">
        <f t="shared" si="18"/>
        <v>58693489.587962955</v>
      </c>
      <c r="E373" s="549">
        <f t="shared" si="23"/>
        <v>1787618.9722222222</v>
      </c>
      <c r="F373" s="506">
        <f t="shared" si="19"/>
        <v>56905870.615740731</v>
      </c>
      <c r="G373" s="554">
        <f t="shared" si="20"/>
        <v>8164461.1911634477</v>
      </c>
      <c r="H373" s="555">
        <f t="shared" si="21"/>
        <v>8164461.1911634477</v>
      </c>
      <c r="I373" s="552">
        <f t="shared" si="22"/>
        <v>0</v>
      </c>
      <c r="J373" s="552"/>
      <c r="K373" s="572">
        <v>6863859</v>
      </c>
      <c r="L373" s="556"/>
      <c r="M373" s="572">
        <v>6863859</v>
      </c>
      <c r="N373" s="556"/>
      <c r="O373" s="556"/>
    </row>
    <row r="374" spans="3:15">
      <c r="C374" s="956">
        <f>IF(D363="","-",+C373+1)</f>
        <v>2019</v>
      </c>
      <c r="D374" s="506">
        <f t="shared" si="18"/>
        <v>56905870.615740731</v>
      </c>
      <c r="E374" s="549">
        <f t="shared" si="23"/>
        <v>1787618.9722222222</v>
      </c>
      <c r="F374" s="506">
        <f t="shared" si="19"/>
        <v>55118251.643518507</v>
      </c>
      <c r="G374" s="554">
        <f t="shared" si="20"/>
        <v>7967239.2668662965</v>
      </c>
      <c r="H374" s="555">
        <f t="shared" si="21"/>
        <v>7967239.2668662965</v>
      </c>
      <c r="I374" s="552">
        <f t="shared" si="22"/>
        <v>0</v>
      </c>
      <c r="J374" s="552"/>
      <c r="K374" s="572"/>
      <c r="L374" s="556"/>
      <c r="M374" s="572"/>
      <c r="N374" s="556"/>
      <c r="O374" s="556"/>
    </row>
    <row r="375" spans="3:15">
      <c r="C375" s="548">
        <f>IF(D363="","-",+C374+1)</f>
        <v>2020</v>
      </c>
      <c r="D375" s="506">
        <f t="shared" si="18"/>
        <v>55118251.643518507</v>
      </c>
      <c r="E375" s="549">
        <f t="shared" si="23"/>
        <v>1787618.9722222222</v>
      </c>
      <c r="F375" s="506">
        <f t="shared" si="19"/>
        <v>53330632.671296284</v>
      </c>
      <c r="G375" s="554">
        <f t="shared" si="20"/>
        <v>7770017.3425691444</v>
      </c>
      <c r="H375" s="555">
        <f t="shared" si="21"/>
        <v>7770017.3425691444</v>
      </c>
      <c r="I375" s="552">
        <f t="shared" si="22"/>
        <v>0</v>
      </c>
      <c r="J375" s="552"/>
      <c r="K375" s="572"/>
      <c r="L375" s="556"/>
      <c r="M375" s="572"/>
      <c r="N375" s="556"/>
      <c r="O375" s="556"/>
    </row>
    <row r="376" spans="3:15">
      <c r="C376" s="548">
        <f>IF(D363="","-",+C375+1)</f>
        <v>2021</v>
      </c>
      <c r="D376" s="506">
        <f t="shared" si="18"/>
        <v>53330632.671296284</v>
      </c>
      <c r="E376" s="549">
        <f t="shared" si="23"/>
        <v>1787618.9722222222</v>
      </c>
      <c r="F376" s="506">
        <f t="shared" si="19"/>
        <v>51543013.69907406</v>
      </c>
      <c r="G376" s="554">
        <f t="shared" si="20"/>
        <v>7572795.4182719933</v>
      </c>
      <c r="H376" s="555">
        <f t="shared" si="21"/>
        <v>7572795.4182719933</v>
      </c>
      <c r="I376" s="552">
        <f t="shared" si="22"/>
        <v>0</v>
      </c>
      <c r="J376" s="552"/>
      <c r="K376" s="572"/>
      <c r="L376" s="556"/>
      <c r="M376" s="572"/>
      <c r="N376" s="556"/>
      <c r="O376" s="556"/>
    </row>
    <row r="377" spans="3:15">
      <c r="C377" s="548">
        <f>IF(D363="","-",+C376+1)</f>
        <v>2022</v>
      </c>
      <c r="D377" s="506">
        <f t="shared" si="18"/>
        <v>51543013.69907406</v>
      </c>
      <c r="E377" s="549">
        <f t="shared" si="23"/>
        <v>1787618.9722222222</v>
      </c>
      <c r="F377" s="506">
        <f t="shared" si="19"/>
        <v>49755394.726851836</v>
      </c>
      <c r="G377" s="554">
        <f t="shared" si="20"/>
        <v>7375573.4939748412</v>
      </c>
      <c r="H377" s="555">
        <f t="shared" si="21"/>
        <v>7375573.4939748412</v>
      </c>
      <c r="I377" s="552">
        <f t="shared" si="22"/>
        <v>0</v>
      </c>
      <c r="J377" s="552"/>
      <c r="K377" s="572"/>
      <c r="L377" s="556"/>
      <c r="M377" s="572"/>
      <c r="N377" s="556"/>
      <c r="O377" s="556"/>
    </row>
    <row r="378" spans="3:15">
      <c r="C378" s="548">
        <f>IF(D363="","-",+C377+1)</f>
        <v>2023</v>
      </c>
      <c r="D378" s="506">
        <f t="shared" si="18"/>
        <v>49755394.726851836</v>
      </c>
      <c r="E378" s="549">
        <f t="shared" si="23"/>
        <v>1787618.9722222222</v>
      </c>
      <c r="F378" s="506">
        <f t="shared" si="19"/>
        <v>47967775.754629612</v>
      </c>
      <c r="G378" s="554">
        <f t="shared" si="20"/>
        <v>7178351.56967769</v>
      </c>
      <c r="H378" s="555">
        <f t="shared" si="21"/>
        <v>7178351.56967769</v>
      </c>
      <c r="I378" s="552">
        <f t="shared" si="22"/>
        <v>0</v>
      </c>
      <c r="J378" s="552"/>
      <c r="K378" s="572"/>
      <c r="L378" s="556"/>
      <c r="M378" s="572"/>
      <c r="N378" s="556"/>
      <c r="O378" s="556"/>
    </row>
    <row r="379" spans="3:15">
      <c r="C379" s="548">
        <f>IF(D363="","-",+C378+1)</f>
        <v>2024</v>
      </c>
      <c r="D379" s="506">
        <f t="shared" si="18"/>
        <v>47967775.754629612</v>
      </c>
      <c r="E379" s="549">
        <f t="shared" si="23"/>
        <v>1787618.9722222222</v>
      </c>
      <c r="F379" s="506">
        <f t="shared" si="19"/>
        <v>46180156.782407388</v>
      </c>
      <c r="G379" s="554">
        <f t="shared" si="20"/>
        <v>6981129.6453805389</v>
      </c>
      <c r="H379" s="555">
        <f t="shared" si="21"/>
        <v>6981129.6453805389</v>
      </c>
      <c r="I379" s="552">
        <f t="shared" si="22"/>
        <v>0</v>
      </c>
      <c r="J379" s="552"/>
      <c r="K379" s="572"/>
      <c r="L379" s="556"/>
      <c r="M379" s="572"/>
      <c r="N379" s="556"/>
      <c r="O379" s="556"/>
    </row>
    <row r="380" spans="3:15">
      <c r="C380" s="548">
        <f>IF(D363="","-",+C379+1)</f>
        <v>2025</v>
      </c>
      <c r="D380" s="506">
        <f t="shared" si="18"/>
        <v>46180156.782407388</v>
      </c>
      <c r="E380" s="549">
        <f t="shared" si="23"/>
        <v>1787618.9722222222</v>
      </c>
      <c r="F380" s="506">
        <f t="shared" si="19"/>
        <v>44392537.810185164</v>
      </c>
      <c r="G380" s="554">
        <f t="shared" si="20"/>
        <v>6783907.7210833868</v>
      </c>
      <c r="H380" s="555">
        <f t="shared" si="21"/>
        <v>6783907.7210833868</v>
      </c>
      <c r="I380" s="552">
        <f t="shared" si="22"/>
        <v>0</v>
      </c>
      <c r="J380" s="552"/>
      <c r="K380" s="572"/>
      <c r="L380" s="556"/>
      <c r="M380" s="572"/>
      <c r="N380" s="556"/>
      <c r="O380" s="556"/>
    </row>
    <row r="381" spans="3:15">
      <c r="C381" s="548">
        <f>IF(D363="","-",+C380+1)</f>
        <v>2026</v>
      </c>
      <c r="D381" s="506">
        <f t="shared" si="18"/>
        <v>44392537.810185164</v>
      </c>
      <c r="E381" s="549">
        <f t="shared" si="23"/>
        <v>1787618.9722222222</v>
      </c>
      <c r="F381" s="506">
        <f t="shared" si="19"/>
        <v>42604918.83796294</v>
      </c>
      <c r="G381" s="554">
        <f t="shared" si="20"/>
        <v>6586685.7967862356</v>
      </c>
      <c r="H381" s="555">
        <f t="shared" si="21"/>
        <v>6586685.7967862356</v>
      </c>
      <c r="I381" s="552">
        <f t="shared" si="22"/>
        <v>0</v>
      </c>
      <c r="J381" s="552"/>
      <c r="K381" s="572"/>
      <c r="L381" s="556"/>
      <c r="M381" s="572"/>
      <c r="N381" s="557"/>
      <c r="O381" s="556"/>
    </row>
    <row r="382" spans="3:15">
      <c r="C382" s="548">
        <f>IF(D363="","-",+C381+1)</f>
        <v>2027</v>
      </c>
      <c r="D382" s="506">
        <f t="shared" si="18"/>
        <v>42604918.83796294</v>
      </c>
      <c r="E382" s="549">
        <f t="shared" si="23"/>
        <v>1787618.9722222222</v>
      </c>
      <c r="F382" s="506">
        <f t="shared" si="19"/>
        <v>40817299.865740716</v>
      </c>
      <c r="G382" s="554">
        <f t="shared" si="20"/>
        <v>6389463.8724890845</v>
      </c>
      <c r="H382" s="555">
        <f t="shared" si="21"/>
        <v>6389463.8724890845</v>
      </c>
      <c r="I382" s="552">
        <f t="shared" si="22"/>
        <v>0</v>
      </c>
      <c r="J382" s="552"/>
      <c r="K382" s="572"/>
      <c r="L382" s="556"/>
      <c r="M382" s="572"/>
      <c r="N382" s="556"/>
      <c r="O382" s="556"/>
    </row>
    <row r="383" spans="3:15">
      <c r="C383" s="548">
        <f>IF(D363="","-",+C382+1)</f>
        <v>2028</v>
      </c>
      <c r="D383" s="506">
        <f t="shared" si="18"/>
        <v>40817299.865740716</v>
      </c>
      <c r="E383" s="549">
        <f t="shared" si="23"/>
        <v>1787618.9722222222</v>
      </c>
      <c r="F383" s="506">
        <f t="shared" si="19"/>
        <v>39029680.893518493</v>
      </c>
      <c r="G383" s="554">
        <f t="shared" si="20"/>
        <v>6192241.9481919324</v>
      </c>
      <c r="H383" s="555">
        <f t="shared" si="21"/>
        <v>6192241.9481919324</v>
      </c>
      <c r="I383" s="552">
        <f t="shared" si="22"/>
        <v>0</v>
      </c>
      <c r="J383" s="552"/>
      <c r="K383" s="572"/>
      <c r="L383" s="556"/>
      <c r="M383" s="572"/>
      <c r="N383" s="556"/>
      <c r="O383" s="556"/>
    </row>
    <row r="384" spans="3:15">
      <c r="C384" s="548">
        <f>IF(D363="","-",+C383+1)</f>
        <v>2029</v>
      </c>
      <c r="D384" s="506">
        <f t="shared" si="18"/>
        <v>39029680.893518493</v>
      </c>
      <c r="E384" s="549">
        <f t="shared" si="23"/>
        <v>1787618.9722222222</v>
      </c>
      <c r="F384" s="506">
        <f t="shared" si="19"/>
        <v>37242061.921296269</v>
      </c>
      <c r="G384" s="554">
        <f t="shared" si="20"/>
        <v>5995020.0238947812</v>
      </c>
      <c r="H384" s="555">
        <f t="shared" si="21"/>
        <v>5995020.0238947812</v>
      </c>
      <c r="I384" s="552">
        <f t="shared" si="22"/>
        <v>0</v>
      </c>
      <c r="J384" s="552"/>
      <c r="K384" s="572"/>
      <c r="L384" s="556"/>
      <c r="M384" s="572"/>
      <c r="N384" s="556"/>
      <c r="O384" s="556"/>
    </row>
    <row r="385" spans="3:15">
      <c r="C385" s="548">
        <f>IF(D363="","-",+C384+1)</f>
        <v>2030</v>
      </c>
      <c r="D385" s="506">
        <f t="shared" si="18"/>
        <v>37242061.921296269</v>
      </c>
      <c r="E385" s="549">
        <f t="shared" si="23"/>
        <v>1787618.9722222222</v>
      </c>
      <c r="F385" s="506">
        <f t="shared" si="19"/>
        <v>35454442.949074045</v>
      </c>
      <c r="G385" s="554">
        <f t="shared" si="20"/>
        <v>5797798.0995976301</v>
      </c>
      <c r="H385" s="555">
        <f t="shared" si="21"/>
        <v>5797798.0995976301</v>
      </c>
      <c r="I385" s="552">
        <f t="shared" si="22"/>
        <v>0</v>
      </c>
      <c r="J385" s="552"/>
      <c r="K385" s="572"/>
      <c r="L385" s="556"/>
      <c r="M385" s="572"/>
      <c r="N385" s="556"/>
      <c r="O385" s="556"/>
    </row>
    <row r="386" spans="3:15">
      <c r="C386" s="548">
        <f>IF(D363="","-",+C385+1)</f>
        <v>2031</v>
      </c>
      <c r="D386" s="506">
        <f t="shared" si="18"/>
        <v>35454442.949074045</v>
      </c>
      <c r="E386" s="549">
        <f t="shared" si="23"/>
        <v>1787618.9722222222</v>
      </c>
      <c r="F386" s="506">
        <f t="shared" si="19"/>
        <v>33666823.976851821</v>
      </c>
      <c r="G386" s="554">
        <f t="shared" si="20"/>
        <v>5600576.175300478</v>
      </c>
      <c r="H386" s="555">
        <f t="shared" si="21"/>
        <v>5600576.175300478</v>
      </c>
      <c r="I386" s="552">
        <f t="shared" si="22"/>
        <v>0</v>
      </c>
      <c r="J386" s="552"/>
      <c r="K386" s="572"/>
      <c r="L386" s="556"/>
      <c r="M386" s="572"/>
      <c r="N386" s="556"/>
      <c r="O386" s="556"/>
    </row>
    <row r="387" spans="3:15">
      <c r="C387" s="548">
        <f>IF(D363="","-",+C386+1)</f>
        <v>2032</v>
      </c>
      <c r="D387" s="506">
        <f t="shared" si="18"/>
        <v>33666823.976851821</v>
      </c>
      <c r="E387" s="549">
        <f t="shared" si="23"/>
        <v>1787618.9722222222</v>
      </c>
      <c r="F387" s="506">
        <f t="shared" si="19"/>
        <v>31879205.004629597</v>
      </c>
      <c r="G387" s="554">
        <f t="shared" si="20"/>
        <v>5403354.2510033268</v>
      </c>
      <c r="H387" s="555">
        <f t="shared" si="21"/>
        <v>5403354.2510033268</v>
      </c>
      <c r="I387" s="552">
        <f t="shared" si="22"/>
        <v>0</v>
      </c>
      <c r="J387" s="552"/>
      <c r="K387" s="572"/>
      <c r="L387" s="556"/>
      <c r="M387" s="572"/>
      <c r="N387" s="556"/>
      <c r="O387" s="556"/>
    </row>
    <row r="388" spans="3:15">
      <c r="C388" s="548">
        <f>IF(D363="","-",+C387+1)</f>
        <v>2033</v>
      </c>
      <c r="D388" s="506">
        <f t="shared" si="18"/>
        <v>31879205.004629597</v>
      </c>
      <c r="E388" s="549">
        <f t="shared" si="23"/>
        <v>1787618.9722222222</v>
      </c>
      <c r="F388" s="506">
        <f t="shared" si="19"/>
        <v>30091586.032407373</v>
      </c>
      <c r="G388" s="554">
        <f t="shared" si="20"/>
        <v>5206132.3267061748</v>
      </c>
      <c r="H388" s="555">
        <f t="shared" si="21"/>
        <v>5206132.3267061748</v>
      </c>
      <c r="I388" s="552">
        <f t="shared" si="22"/>
        <v>0</v>
      </c>
      <c r="J388" s="552"/>
      <c r="K388" s="572"/>
      <c r="L388" s="556"/>
      <c r="M388" s="572"/>
      <c r="N388" s="556"/>
      <c r="O388" s="556"/>
    </row>
    <row r="389" spans="3:15">
      <c r="C389" s="548">
        <f>IF(D363="","-",+C388+1)</f>
        <v>2034</v>
      </c>
      <c r="D389" s="506">
        <f t="shared" si="18"/>
        <v>30091586.032407373</v>
      </c>
      <c r="E389" s="549">
        <f t="shared" si="23"/>
        <v>1787618.9722222222</v>
      </c>
      <c r="F389" s="506">
        <f t="shared" si="19"/>
        <v>28303967.060185149</v>
      </c>
      <c r="G389" s="554">
        <f t="shared" si="20"/>
        <v>5008910.4024090236</v>
      </c>
      <c r="H389" s="555">
        <f t="shared" si="21"/>
        <v>5008910.4024090236</v>
      </c>
      <c r="I389" s="552">
        <f t="shared" si="22"/>
        <v>0</v>
      </c>
      <c r="J389" s="552"/>
      <c r="K389" s="572"/>
      <c r="L389" s="556"/>
      <c r="M389" s="572"/>
      <c r="N389" s="556"/>
      <c r="O389" s="556"/>
    </row>
    <row r="390" spans="3:15">
      <c r="C390" s="548">
        <f>IF(D363="","-",+C389+1)</f>
        <v>2035</v>
      </c>
      <c r="D390" s="506">
        <f t="shared" si="18"/>
        <v>28303967.060185149</v>
      </c>
      <c r="E390" s="549">
        <f t="shared" si="23"/>
        <v>1787618.9722222222</v>
      </c>
      <c r="F390" s="506">
        <f t="shared" si="19"/>
        <v>26516348.087962925</v>
      </c>
      <c r="G390" s="554">
        <f t="shared" si="20"/>
        <v>4811688.4781118724</v>
      </c>
      <c r="H390" s="555">
        <f t="shared" si="21"/>
        <v>4811688.4781118724</v>
      </c>
      <c r="I390" s="552">
        <f t="shared" si="22"/>
        <v>0</v>
      </c>
      <c r="J390" s="552"/>
      <c r="K390" s="572"/>
      <c r="L390" s="556"/>
      <c r="M390" s="572"/>
      <c r="N390" s="556"/>
      <c r="O390" s="556"/>
    </row>
    <row r="391" spans="3:15">
      <c r="C391" s="548">
        <f>IF(D363="","-",+C390+1)</f>
        <v>2036</v>
      </c>
      <c r="D391" s="506">
        <f t="shared" si="18"/>
        <v>26516348.087962925</v>
      </c>
      <c r="E391" s="549">
        <f t="shared" si="23"/>
        <v>1787618.9722222222</v>
      </c>
      <c r="F391" s="506">
        <f t="shared" si="19"/>
        <v>24728729.115740702</v>
      </c>
      <c r="G391" s="554">
        <f t="shared" si="20"/>
        <v>4614466.5538147204</v>
      </c>
      <c r="H391" s="555">
        <f t="shared" si="21"/>
        <v>4614466.5538147204</v>
      </c>
      <c r="I391" s="552">
        <f t="shared" si="22"/>
        <v>0</v>
      </c>
      <c r="J391" s="552"/>
      <c r="K391" s="572"/>
      <c r="L391" s="556"/>
      <c r="M391" s="572"/>
      <c r="N391" s="556"/>
      <c r="O391" s="556"/>
    </row>
    <row r="392" spans="3:15">
      <c r="C392" s="548">
        <f>IF(D363="","-",+C391+1)</f>
        <v>2037</v>
      </c>
      <c r="D392" s="506">
        <f t="shared" si="18"/>
        <v>24728729.115740702</v>
      </c>
      <c r="E392" s="549">
        <f t="shared" si="23"/>
        <v>1787618.9722222222</v>
      </c>
      <c r="F392" s="506">
        <f t="shared" si="19"/>
        <v>22941110.143518478</v>
      </c>
      <c r="G392" s="554">
        <f t="shared" si="20"/>
        <v>4417244.6295175692</v>
      </c>
      <c r="H392" s="555">
        <f t="shared" si="21"/>
        <v>4417244.6295175692</v>
      </c>
      <c r="I392" s="552">
        <f t="shared" si="22"/>
        <v>0</v>
      </c>
      <c r="J392" s="552"/>
      <c r="K392" s="572"/>
      <c r="L392" s="556"/>
      <c r="M392" s="572"/>
      <c r="N392" s="556"/>
      <c r="O392" s="556"/>
    </row>
    <row r="393" spans="3:15">
      <c r="C393" s="548">
        <f>IF(D363="","-",+C392+1)</f>
        <v>2038</v>
      </c>
      <c r="D393" s="506">
        <f t="shared" si="18"/>
        <v>22941110.143518478</v>
      </c>
      <c r="E393" s="549">
        <f t="shared" si="23"/>
        <v>1787618.9722222222</v>
      </c>
      <c r="F393" s="506">
        <f t="shared" si="19"/>
        <v>21153491.171296254</v>
      </c>
      <c r="G393" s="554">
        <f t="shared" si="20"/>
        <v>4220022.7052204171</v>
      </c>
      <c r="H393" s="555">
        <f t="shared" si="21"/>
        <v>4220022.7052204171</v>
      </c>
      <c r="I393" s="552">
        <f t="shared" si="22"/>
        <v>0</v>
      </c>
      <c r="J393" s="552"/>
      <c r="K393" s="572"/>
      <c r="L393" s="556"/>
      <c r="M393" s="572"/>
      <c r="N393" s="556"/>
      <c r="O393" s="556"/>
    </row>
    <row r="394" spans="3:15">
      <c r="C394" s="548">
        <f>IF(D363="","-",+C393+1)</f>
        <v>2039</v>
      </c>
      <c r="D394" s="506">
        <f t="shared" si="18"/>
        <v>21153491.171296254</v>
      </c>
      <c r="E394" s="549">
        <f t="shared" si="23"/>
        <v>1787618.9722222222</v>
      </c>
      <c r="F394" s="506">
        <f t="shared" si="19"/>
        <v>19365872.19907403</v>
      </c>
      <c r="G394" s="554">
        <f t="shared" si="20"/>
        <v>4022800.780923266</v>
      </c>
      <c r="H394" s="555">
        <f t="shared" si="21"/>
        <v>4022800.780923266</v>
      </c>
      <c r="I394" s="552">
        <f t="shared" si="22"/>
        <v>0</v>
      </c>
      <c r="J394" s="552"/>
      <c r="K394" s="572"/>
      <c r="L394" s="556"/>
      <c r="M394" s="572"/>
      <c r="N394" s="556"/>
      <c r="O394" s="556"/>
    </row>
    <row r="395" spans="3:15">
      <c r="C395" s="548">
        <f>IF(D363="","-",+C394+1)</f>
        <v>2040</v>
      </c>
      <c r="D395" s="506">
        <f t="shared" si="18"/>
        <v>19365872.19907403</v>
      </c>
      <c r="E395" s="549">
        <f t="shared" si="23"/>
        <v>1787618.9722222222</v>
      </c>
      <c r="F395" s="506">
        <f t="shared" si="19"/>
        <v>17578253.226851806</v>
      </c>
      <c r="G395" s="554">
        <f t="shared" si="20"/>
        <v>3825578.8566261148</v>
      </c>
      <c r="H395" s="555">
        <f t="shared" si="21"/>
        <v>3825578.8566261148</v>
      </c>
      <c r="I395" s="552">
        <f t="shared" si="22"/>
        <v>0</v>
      </c>
      <c r="J395" s="552"/>
      <c r="K395" s="572"/>
      <c r="L395" s="556"/>
      <c r="M395" s="572"/>
      <c r="N395" s="556"/>
      <c r="O395" s="556"/>
    </row>
    <row r="396" spans="3:15">
      <c r="C396" s="548">
        <f>IF(D363="","-",+C395+1)</f>
        <v>2041</v>
      </c>
      <c r="D396" s="506">
        <f t="shared" si="18"/>
        <v>17578253.226851806</v>
      </c>
      <c r="E396" s="549">
        <f t="shared" si="23"/>
        <v>1787618.9722222222</v>
      </c>
      <c r="F396" s="506">
        <f t="shared" si="19"/>
        <v>15790634.254629584</v>
      </c>
      <c r="G396" s="554">
        <f t="shared" si="20"/>
        <v>3628356.9323289627</v>
      </c>
      <c r="H396" s="555">
        <f t="shared" si="21"/>
        <v>3628356.9323289627</v>
      </c>
      <c r="I396" s="552">
        <f t="shared" si="22"/>
        <v>0</v>
      </c>
      <c r="J396" s="552"/>
      <c r="K396" s="572"/>
      <c r="L396" s="556"/>
      <c r="M396" s="572"/>
      <c r="N396" s="556"/>
      <c r="O396" s="556"/>
    </row>
    <row r="397" spans="3:15">
      <c r="C397" s="548">
        <f>IF(D363="","-",+C396+1)</f>
        <v>2042</v>
      </c>
      <c r="D397" s="506">
        <f t="shared" si="18"/>
        <v>15790634.254629584</v>
      </c>
      <c r="E397" s="549">
        <f t="shared" si="23"/>
        <v>1787618.9722222222</v>
      </c>
      <c r="F397" s="506">
        <f t="shared" si="19"/>
        <v>14003015.282407362</v>
      </c>
      <c r="G397" s="550">
        <f t="shared" si="20"/>
        <v>3431135.0080318116</v>
      </c>
      <c r="H397" s="555">
        <f t="shared" si="21"/>
        <v>3431135.0080318116</v>
      </c>
      <c r="I397" s="552">
        <f t="shared" si="22"/>
        <v>0</v>
      </c>
      <c r="J397" s="552"/>
      <c r="K397" s="572"/>
      <c r="L397" s="556"/>
      <c r="M397" s="572"/>
      <c r="N397" s="556"/>
      <c r="O397" s="556"/>
    </row>
    <row r="398" spans="3:15">
      <c r="C398" s="548">
        <f>IF(D363="","-",+C397+1)</f>
        <v>2043</v>
      </c>
      <c r="D398" s="506">
        <f t="shared" si="18"/>
        <v>14003015.282407362</v>
      </c>
      <c r="E398" s="549">
        <f t="shared" si="23"/>
        <v>1787618.9722222222</v>
      </c>
      <c r="F398" s="506">
        <f t="shared" si="19"/>
        <v>12215396.31018514</v>
      </c>
      <c r="G398" s="554">
        <f t="shared" si="20"/>
        <v>3233913.0837346604</v>
      </c>
      <c r="H398" s="555">
        <f t="shared" si="21"/>
        <v>3233913.0837346604</v>
      </c>
      <c r="I398" s="552">
        <f t="shared" si="22"/>
        <v>0</v>
      </c>
      <c r="J398" s="552"/>
      <c r="K398" s="572"/>
      <c r="L398" s="556"/>
      <c r="M398" s="572"/>
      <c r="N398" s="556"/>
      <c r="O398" s="556"/>
    </row>
    <row r="399" spans="3:15">
      <c r="C399" s="548">
        <f>IF(D363="","-",+C398+1)</f>
        <v>2044</v>
      </c>
      <c r="D399" s="506">
        <f t="shared" si="18"/>
        <v>12215396.31018514</v>
      </c>
      <c r="E399" s="549">
        <f t="shared" si="23"/>
        <v>1787618.9722222222</v>
      </c>
      <c r="F399" s="506">
        <f t="shared" si="19"/>
        <v>10427777.337962918</v>
      </c>
      <c r="G399" s="554">
        <f t="shared" si="20"/>
        <v>3036691.1594375093</v>
      </c>
      <c r="H399" s="555">
        <f t="shared" si="21"/>
        <v>3036691.1594375093</v>
      </c>
      <c r="I399" s="552">
        <f t="shared" si="22"/>
        <v>0</v>
      </c>
      <c r="J399" s="552"/>
      <c r="K399" s="572"/>
      <c r="L399" s="556"/>
      <c r="M399" s="572"/>
      <c r="N399" s="556"/>
      <c r="O399" s="556"/>
    </row>
    <row r="400" spans="3:15">
      <c r="C400" s="548">
        <f>IF(D363="","-",+C399+1)</f>
        <v>2045</v>
      </c>
      <c r="D400" s="506">
        <f t="shared" si="18"/>
        <v>10427777.337962918</v>
      </c>
      <c r="E400" s="549">
        <f t="shared" si="23"/>
        <v>1787618.9722222222</v>
      </c>
      <c r="F400" s="506">
        <f t="shared" si="19"/>
        <v>8640158.365740696</v>
      </c>
      <c r="G400" s="554">
        <f t="shared" si="20"/>
        <v>2839469.2351403576</v>
      </c>
      <c r="H400" s="555">
        <f t="shared" si="21"/>
        <v>2839469.2351403576</v>
      </c>
      <c r="I400" s="552">
        <f t="shared" si="22"/>
        <v>0</v>
      </c>
      <c r="J400" s="552"/>
      <c r="K400" s="572"/>
      <c r="L400" s="556"/>
      <c r="M400" s="572"/>
      <c r="N400" s="556"/>
      <c r="O400" s="556"/>
    </row>
    <row r="401" spans="3:15">
      <c r="C401" s="548">
        <f>IF(D363="","-",+C400+1)</f>
        <v>2046</v>
      </c>
      <c r="D401" s="506">
        <f t="shared" si="18"/>
        <v>8640158.365740696</v>
      </c>
      <c r="E401" s="549">
        <f t="shared" si="23"/>
        <v>1787618.9722222222</v>
      </c>
      <c r="F401" s="506">
        <f t="shared" si="19"/>
        <v>6852539.393518474</v>
      </c>
      <c r="G401" s="554">
        <f t="shared" si="20"/>
        <v>2642247.3108432065</v>
      </c>
      <c r="H401" s="555">
        <f t="shared" si="21"/>
        <v>2642247.3108432065</v>
      </c>
      <c r="I401" s="552">
        <f t="shared" si="22"/>
        <v>0</v>
      </c>
      <c r="J401" s="552"/>
      <c r="K401" s="572"/>
      <c r="L401" s="556"/>
      <c r="M401" s="572"/>
      <c r="N401" s="556"/>
      <c r="O401" s="556"/>
    </row>
    <row r="402" spans="3:15">
      <c r="C402" s="548">
        <f>IF(D363="","-",+C401+1)</f>
        <v>2047</v>
      </c>
      <c r="D402" s="506">
        <f t="shared" si="18"/>
        <v>6852539.393518474</v>
      </c>
      <c r="E402" s="549">
        <f t="shared" si="23"/>
        <v>1787618.9722222222</v>
      </c>
      <c r="F402" s="506">
        <f t="shared" si="19"/>
        <v>5064920.4212962519</v>
      </c>
      <c r="G402" s="554">
        <f t="shared" si="20"/>
        <v>2445025.3865460549</v>
      </c>
      <c r="H402" s="555">
        <f t="shared" si="21"/>
        <v>2445025.3865460549</v>
      </c>
      <c r="I402" s="552">
        <f t="shared" si="22"/>
        <v>0</v>
      </c>
      <c r="J402" s="552"/>
      <c r="K402" s="572"/>
      <c r="L402" s="556"/>
      <c r="M402" s="572"/>
      <c r="N402" s="556"/>
      <c r="O402" s="556"/>
    </row>
    <row r="403" spans="3:15">
      <c r="C403" s="548">
        <f>IF(D363="","-",+C402+1)</f>
        <v>2048</v>
      </c>
      <c r="D403" s="506">
        <f t="shared" si="18"/>
        <v>5064920.4212962519</v>
      </c>
      <c r="E403" s="549">
        <f t="shared" si="23"/>
        <v>1787618.9722222222</v>
      </c>
      <c r="F403" s="506">
        <f t="shared" si="19"/>
        <v>3277301.4490740299</v>
      </c>
      <c r="G403" s="554">
        <f t="shared" si="20"/>
        <v>2247803.4622489037</v>
      </c>
      <c r="H403" s="555">
        <f t="shared" si="21"/>
        <v>2247803.4622489037</v>
      </c>
      <c r="I403" s="552">
        <f t="shared" si="22"/>
        <v>0</v>
      </c>
      <c r="J403" s="552"/>
      <c r="K403" s="572"/>
      <c r="L403" s="556"/>
      <c r="M403" s="572"/>
      <c r="N403" s="556"/>
      <c r="O403" s="556"/>
    </row>
    <row r="404" spans="3:15">
      <c r="C404" s="548">
        <f>IF(D363="","-",+C403+1)</f>
        <v>2049</v>
      </c>
      <c r="D404" s="506">
        <f t="shared" si="18"/>
        <v>3277301.4490740299</v>
      </c>
      <c r="E404" s="549">
        <f t="shared" si="23"/>
        <v>1787618.9722222222</v>
      </c>
      <c r="F404" s="506">
        <f t="shared" si="19"/>
        <v>1489682.4768518077</v>
      </c>
      <c r="G404" s="554">
        <f t="shared" si="20"/>
        <v>2050581.5379517525</v>
      </c>
      <c r="H404" s="555">
        <f t="shared" si="21"/>
        <v>2050581.5379517525</v>
      </c>
      <c r="I404" s="552">
        <f t="shared" si="22"/>
        <v>0</v>
      </c>
      <c r="J404" s="552"/>
      <c r="K404" s="572"/>
      <c r="L404" s="556"/>
      <c r="M404" s="572"/>
      <c r="N404" s="556"/>
      <c r="O404" s="556"/>
    </row>
    <row r="405" spans="3:15">
      <c r="C405" s="548">
        <f>IF(D363="","-",+C404+1)</f>
        <v>2050</v>
      </c>
      <c r="D405" s="506">
        <f t="shared" si="18"/>
        <v>1489682.4768518077</v>
      </c>
      <c r="E405" s="549">
        <f t="shared" si="23"/>
        <v>1489682.4768518077</v>
      </c>
      <c r="F405" s="506">
        <f t="shared" si="19"/>
        <v>0</v>
      </c>
      <c r="G405" s="554">
        <f t="shared" si="20"/>
        <v>1571858.2786422849</v>
      </c>
      <c r="H405" s="555">
        <f t="shared" si="21"/>
        <v>1571858.2786422849</v>
      </c>
      <c r="I405" s="552">
        <f t="shared" si="22"/>
        <v>0</v>
      </c>
      <c r="J405" s="552"/>
      <c r="K405" s="572"/>
      <c r="L405" s="556"/>
      <c r="M405" s="572"/>
      <c r="N405" s="556"/>
      <c r="O405" s="556"/>
    </row>
    <row r="406" spans="3:15">
      <c r="C406" s="548">
        <f>IF(D363="","-",+C405+1)</f>
        <v>2051</v>
      </c>
      <c r="D406" s="506">
        <f t="shared" si="18"/>
        <v>0</v>
      </c>
      <c r="E406" s="549">
        <f t="shared" si="23"/>
        <v>0</v>
      </c>
      <c r="F406" s="506">
        <f t="shared" si="19"/>
        <v>0</v>
      </c>
      <c r="G406" s="554">
        <f t="shared" si="20"/>
        <v>0</v>
      </c>
      <c r="H406" s="555">
        <f t="shared" si="21"/>
        <v>0</v>
      </c>
      <c r="I406" s="552">
        <f t="shared" si="22"/>
        <v>0</v>
      </c>
      <c r="J406" s="552"/>
      <c r="K406" s="572"/>
      <c r="L406" s="556"/>
      <c r="M406" s="572"/>
      <c r="N406" s="556"/>
      <c r="O406" s="556"/>
    </row>
    <row r="407" spans="3:15">
      <c r="C407" s="548">
        <f>IF(D363="","-",+C406+1)</f>
        <v>2052</v>
      </c>
      <c r="D407" s="506">
        <f t="shared" si="18"/>
        <v>0</v>
      </c>
      <c r="E407" s="549">
        <f t="shared" si="23"/>
        <v>0</v>
      </c>
      <c r="F407" s="506">
        <f t="shared" si="19"/>
        <v>0</v>
      </c>
      <c r="G407" s="554">
        <f t="shared" si="20"/>
        <v>0</v>
      </c>
      <c r="H407" s="555">
        <f t="shared" si="21"/>
        <v>0</v>
      </c>
      <c r="I407" s="552">
        <f t="shared" si="22"/>
        <v>0</v>
      </c>
      <c r="J407" s="552"/>
      <c r="K407" s="572"/>
      <c r="L407" s="556"/>
      <c r="M407" s="572"/>
      <c r="N407" s="556"/>
      <c r="O407" s="556"/>
    </row>
    <row r="408" spans="3:15">
      <c r="C408" s="548">
        <f>IF(D363="","-",+C407+1)</f>
        <v>2053</v>
      </c>
      <c r="D408" s="506">
        <f t="shared" si="18"/>
        <v>0</v>
      </c>
      <c r="E408" s="549">
        <f t="shared" si="23"/>
        <v>0</v>
      </c>
      <c r="F408" s="506">
        <f t="shared" si="19"/>
        <v>0</v>
      </c>
      <c r="G408" s="554">
        <f t="shared" si="20"/>
        <v>0</v>
      </c>
      <c r="H408" s="555">
        <f t="shared" si="21"/>
        <v>0</v>
      </c>
      <c r="I408" s="552">
        <f t="shared" si="22"/>
        <v>0</v>
      </c>
      <c r="J408" s="552"/>
      <c r="K408" s="572"/>
      <c r="L408" s="556"/>
      <c r="M408" s="572"/>
      <c r="N408" s="556"/>
      <c r="O408" s="556"/>
    </row>
    <row r="409" spans="3:15">
      <c r="C409" s="548">
        <f>IF(D363="","-",+C408+1)</f>
        <v>2054</v>
      </c>
      <c r="D409" s="506">
        <f t="shared" si="18"/>
        <v>0</v>
      </c>
      <c r="E409" s="549">
        <f t="shared" si="23"/>
        <v>0</v>
      </c>
      <c r="F409" s="506">
        <f t="shared" si="19"/>
        <v>0</v>
      </c>
      <c r="G409" s="554">
        <f t="shared" si="20"/>
        <v>0</v>
      </c>
      <c r="H409" s="555">
        <f t="shared" si="21"/>
        <v>0</v>
      </c>
      <c r="I409" s="552">
        <f t="shared" si="22"/>
        <v>0</v>
      </c>
      <c r="J409" s="552"/>
      <c r="K409" s="572"/>
      <c r="L409" s="556"/>
      <c r="M409" s="572"/>
      <c r="N409" s="556"/>
      <c r="O409" s="556"/>
    </row>
    <row r="410" spans="3:15">
      <c r="C410" s="548">
        <f>IF(D363="","-",+C409+1)</f>
        <v>2055</v>
      </c>
      <c r="D410" s="506">
        <f t="shared" si="18"/>
        <v>0</v>
      </c>
      <c r="E410" s="549">
        <f t="shared" si="23"/>
        <v>0</v>
      </c>
      <c r="F410" s="506">
        <f t="shared" si="19"/>
        <v>0</v>
      </c>
      <c r="G410" s="554">
        <f t="shared" si="20"/>
        <v>0</v>
      </c>
      <c r="H410" s="555">
        <f t="shared" si="21"/>
        <v>0</v>
      </c>
      <c r="I410" s="552">
        <f t="shared" si="22"/>
        <v>0</v>
      </c>
      <c r="J410" s="552"/>
      <c r="K410" s="572"/>
      <c r="L410" s="556"/>
      <c r="M410" s="572"/>
      <c r="N410" s="556"/>
      <c r="O410" s="556"/>
    </row>
    <row r="411" spans="3:15">
      <c r="C411" s="548">
        <f>IF(D363="","-",+C410+1)</f>
        <v>2056</v>
      </c>
      <c r="D411" s="506">
        <f t="shared" si="18"/>
        <v>0</v>
      </c>
      <c r="E411" s="549">
        <f t="shared" si="23"/>
        <v>0</v>
      </c>
      <c r="F411" s="506">
        <f t="shared" si="19"/>
        <v>0</v>
      </c>
      <c r="G411" s="554">
        <f t="shared" si="20"/>
        <v>0</v>
      </c>
      <c r="H411" s="555">
        <f t="shared" si="21"/>
        <v>0</v>
      </c>
      <c r="I411" s="552">
        <f t="shared" si="22"/>
        <v>0</v>
      </c>
      <c r="J411" s="552"/>
      <c r="K411" s="572"/>
      <c r="L411" s="556"/>
      <c r="M411" s="572"/>
      <c r="N411" s="556"/>
      <c r="O411" s="556"/>
    </row>
    <row r="412" spans="3:15">
      <c r="C412" s="548">
        <f>IF(D363="","-",+C411+1)</f>
        <v>2057</v>
      </c>
      <c r="D412" s="506">
        <f t="shared" si="18"/>
        <v>0</v>
      </c>
      <c r="E412" s="549">
        <f t="shared" si="23"/>
        <v>0</v>
      </c>
      <c r="F412" s="506">
        <f t="shared" si="19"/>
        <v>0</v>
      </c>
      <c r="G412" s="554">
        <f t="shared" si="20"/>
        <v>0</v>
      </c>
      <c r="H412" s="555">
        <f t="shared" si="21"/>
        <v>0</v>
      </c>
      <c r="I412" s="552">
        <f t="shared" si="22"/>
        <v>0</v>
      </c>
      <c r="J412" s="552"/>
      <c r="K412" s="572"/>
      <c r="L412" s="556"/>
      <c r="M412" s="572"/>
      <c r="N412" s="556"/>
      <c r="O412" s="556"/>
    </row>
    <row r="413" spans="3:15">
      <c r="C413" s="548">
        <f>IF(D363="","-",+C412+1)</f>
        <v>2058</v>
      </c>
      <c r="D413" s="506">
        <f t="shared" si="18"/>
        <v>0</v>
      </c>
      <c r="E413" s="549">
        <f t="shared" si="23"/>
        <v>0</v>
      </c>
      <c r="F413" s="506">
        <f t="shared" si="19"/>
        <v>0</v>
      </c>
      <c r="G413" s="554">
        <f t="shared" si="20"/>
        <v>0</v>
      </c>
      <c r="H413" s="555">
        <f t="shared" si="21"/>
        <v>0</v>
      </c>
      <c r="I413" s="552">
        <f t="shared" si="22"/>
        <v>0</v>
      </c>
      <c r="J413" s="552"/>
      <c r="K413" s="572"/>
      <c r="L413" s="556"/>
      <c r="M413" s="572"/>
      <c r="N413" s="556"/>
      <c r="O413" s="556"/>
    </row>
    <row r="414" spans="3:15">
      <c r="C414" s="548">
        <f>IF(D363="","-",+C413+1)</f>
        <v>2059</v>
      </c>
      <c r="D414" s="506">
        <f t="shared" si="18"/>
        <v>0</v>
      </c>
      <c r="E414" s="549">
        <f t="shared" si="23"/>
        <v>0</v>
      </c>
      <c r="F414" s="506">
        <f t="shared" si="19"/>
        <v>0</v>
      </c>
      <c r="G414" s="554">
        <f t="shared" si="20"/>
        <v>0</v>
      </c>
      <c r="H414" s="555">
        <f t="shared" si="21"/>
        <v>0</v>
      </c>
      <c r="I414" s="552">
        <f t="shared" si="22"/>
        <v>0</v>
      </c>
      <c r="J414" s="552"/>
      <c r="K414" s="572"/>
      <c r="L414" s="556"/>
      <c r="M414" s="572"/>
      <c r="N414" s="556"/>
      <c r="O414" s="556"/>
    </row>
    <row r="415" spans="3:15">
      <c r="C415" s="548">
        <f>IF(D363="","-",+C414+1)</f>
        <v>2060</v>
      </c>
      <c r="D415" s="506">
        <f t="shared" si="18"/>
        <v>0</v>
      </c>
      <c r="E415" s="549">
        <f t="shared" si="23"/>
        <v>0</v>
      </c>
      <c r="F415" s="506">
        <f t="shared" si="19"/>
        <v>0</v>
      </c>
      <c r="G415" s="554">
        <f t="shared" si="20"/>
        <v>0</v>
      </c>
      <c r="H415" s="555">
        <f t="shared" si="21"/>
        <v>0</v>
      </c>
      <c r="I415" s="552">
        <f t="shared" si="22"/>
        <v>0</v>
      </c>
      <c r="J415" s="552"/>
      <c r="K415" s="572"/>
      <c r="L415" s="556"/>
      <c r="M415" s="572"/>
      <c r="N415" s="556"/>
      <c r="O415" s="556"/>
    </row>
    <row r="416" spans="3:15">
      <c r="C416" s="548">
        <f>IF(D363="","-",+C415+1)</f>
        <v>2061</v>
      </c>
      <c r="D416" s="506">
        <f t="shared" si="18"/>
        <v>0</v>
      </c>
      <c r="E416" s="549">
        <f t="shared" si="23"/>
        <v>0</v>
      </c>
      <c r="F416" s="506">
        <f t="shared" si="19"/>
        <v>0</v>
      </c>
      <c r="G416" s="554">
        <f t="shared" si="20"/>
        <v>0</v>
      </c>
      <c r="H416" s="555">
        <f t="shared" si="21"/>
        <v>0</v>
      </c>
      <c r="I416" s="552">
        <f t="shared" si="22"/>
        <v>0</v>
      </c>
      <c r="J416" s="552"/>
      <c r="K416" s="572"/>
      <c r="L416" s="556"/>
      <c r="M416" s="572"/>
      <c r="N416" s="556"/>
      <c r="O416" s="556"/>
    </row>
    <row r="417" spans="3:15">
      <c r="C417" s="548">
        <f>IF(D363="","-",+C416+1)</f>
        <v>2062</v>
      </c>
      <c r="D417" s="506">
        <f t="shared" si="18"/>
        <v>0</v>
      </c>
      <c r="E417" s="549">
        <f t="shared" si="23"/>
        <v>0</v>
      </c>
      <c r="F417" s="506">
        <f t="shared" si="19"/>
        <v>0</v>
      </c>
      <c r="G417" s="554">
        <f t="shared" si="20"/>
        <v>0</v>
      </c>
      <c r="H417" s="555">
        <f t="shared" si="21"/>
        <v>0</v>
      </c>
      <c r="I417" s="552">
        <f t="shared" si="22"/>
        <v>0</v>
      </c>
      <c r="J417" s="552"/>
      <c r="K417" s="572"/>
      <c r="L417" s="556"/>
      <c r="M417" s="572"/>
      <c r="N417" s="556"/>
      <c r="O417" s="556"/>
    </row>
    <row r="418" spans="3:15">
      <c r="C418" s="548">
        <f>IF(D363="","-",+C417+1)</f>
        <v>2063</v>
      </c>
      <c r="D418" s="506">
        <f t="shared" si="18"/>
        <v>0</v>
      </c>
      <c r="E418" s="549">
        <f t="shared" si="23"/>
        <v>0</v>
      </c>
      <c r="F418" s="506">
        <f t="shared" si="19"/>
        <v>0</v>
      </c>
      <c r="G418" s="554">
        <f t="shared" si="20"/>
        <v>0</v>
      </c>
      <c r="H418" s="555">
        <f t="shared" si="21"/>
        <v>0</v>
      </c>
      <c r="I418" s="552">
        <f t="shared" si="22"/>
        <v>0</v>
      </c>
      <c r="J418" s="552"/>
      <c r="K418" s="572"/>
      <c r="L418" s="556"/>
      <c r="M418" s="572"/>
      <c r="N418" s="556"/>
      <c r="O418" s="556"/>
    </row>
    <row r="419" spans="3:15">
      <c r="C419" s="548">
        <f>IF(D363="","-",+C418+1)</f>
        <v>2064</v>
      </c>
      <c r="D419" s="506">
        <f t="shared" si="18"/>
        <v>0</v>
      </c>
      <c r="E419" s="549">
        <f t="shared" si="23"/>
        <v>0</v>
      </c>
      <c r="F419" s="506">
        <f t="shared" si="19"/>
        <v>0</v>
      </c>
      <c r="G419" s="554">
        <f t="shared" si="20"/>
        <v>0</v>
      </c>
      <c r="H419" s="555">
        <f t="shared" si="21"/>
        <v>0</v>
      </c>
      <c r="I419" s="552">
        <f t="shared" si="22"/>
        <v>0</v>
      </c>
      <c r="J419" s="552"/>
      <c r="K419" s="572"/>
      <c r="L419" s="556"/>
      <c r="M419" s="572"/>
      <c r="N419" s="556"/>
      <c r="O419" s="556"/>
    </row>
    <row r="420" spans="3:15">
      <c r="C420" s="548">
        <f>IF(D363="","-",+C419+1)</f>
        <v>2065</v>
      </c>
      <c r="D420" s="506">
        <f t="shared" si="18"/>
        <v>0</v>
      </c>
      <c r="E420" s="549">
        <f t="shared" si="23"/>
        <v>0</v>
      </c>
      <c r="F420" s="506">
        <f t="shared" si="19"/>
        <v>0</v>
      </c>
      <c r="G420" s="554">
        <f t="shared" si="20"/>
        <v>0</v>
      </c>
      <c r="H420" s="555">
        <f t="shared" si="21"/>
        <v>0</v>
      </c>
      <c r="I420" s="552">
        <f t="shared" si="22"/>
        <v>0</v>
      </c>
      <c r="J420" s="552"/>
      <c r="K420" s="572"/>
      <c r="L420" s="556"/>
      <c r="M420" s="572"/>
      <c r="N420" s="556"/>
      <c r="O420" s="556"/>
    </row>
    <row r="421" spans="3:15">
      <c r="C421" s="548">
        <f>IF(D363="","-",+C420+1)</f>
        <v>2066</v>
      </c>
      <c r="D421" s="506">
        <f t="shared" si="18"/>
        <v>0</v>
      </c>
      <c r="E421" s="549">
        <f t="shared" si="23"/>
        <v>0</v>
      </c>
      <c r="F421" s="506">
        <f t="shared" si="19"/>
        <v>0</v>
      </c>
      <c r="G421" s="554">
        <f t="shared" si="20"/>
        <v>0</v>
      </c>
      <c r="H421" s="555">
        <f t="shared" si="21"/>
        <v>0</v>
      </c>
      <c r="I421" s="552">
        <f t="shared" si="22"/>
        <v>0</v>
      </c>
      <c r="J421" s="552"/>
      <c r="K421" s="572"/>
      <c r="L421" s="556"/>
      <c r="M421" s="572"/>
      <c r="N421" s="556"/>
      <c r="O421" s="556"/>
    </row>
    <row r="422" spans="3:15">
      <c r="C422" s="548">
        <f>IF(D363="","-",+C421+1)</f>
        <v>2067</v>
      </c>
      <c r="D422" s="506">
        <f t="shared" si="18"/>
        <v>0</v>
      </c>
      <c r="E422" s="549">
        <f t="shared" si="23"/>
        <v>0</v>
      </c>
      <c r="F422" s="506">
        <f t="shared" si="19"/>
        <v>0</v>
      </c>
      <c r="G422" s="554">
        <f t="shared" si="20"/>
        <v>0</v>
      </c>
      <c r="H422" s="555">
        <f t="shared" si="21"/>
        <v>0</v>
      </c>
      <c r="I422" s="552">
        <f t="shared" si="22"/>
        <v>0</v>
      </c>
      <c r="J422" s="552"/>
      <c r="K422" s="572"/>
      <c r="L422" s="556"/>
      <c r="M422" s="572"/>
      <c r="N422" s="556"/>
      <c r="O422" s="556"/>
    </row>
    <row r="423" spans="3:15">
      <c r="C423" s="548">
        <f>IF(D363="","-",+C422+1)</f>
        <v>2068</v>
      </c>
      <c r="D423" s="506">
        <f t="shared" si="18"/>
        <v>0</v>
      </c>
      <c r="E423" s="549">
        <f t="shared" si="23"/>
        <v>0</v>
      </c>
      <c r="F423" s="506">
        <f t="shared" si="19"/>
        <v>0</v>
      </c>
      <c r="G423" s="554">
        <f t="shared" si="20"/>
        <v>0</v>
      </c>
      <c r="H423" s="555">
        <f t="shared" si="21"/>
        <v>0</v>
      </c>
      <c r="I423" s="552">
        <f t="shared" si="22"/>
        <v>0</v>
      </c>
      <c r="J423" s="552"/>
      <c r="K423" s="572"/>
      <c r="L423" s="556"/>
      <c r="M423" s="572"/>
      <c r="N423" s="556"/>
      <c r="O423" s="556"/>
    </row>
    <row r="424" spans="3:15">
      <c r="C424" s="548">
        <f>IF(D363="","-",+C423+1)</f>
        <v>2069</v>
      </c>
      <c r="D424" s="506">
        <f t="shared" si="18"/>
        <v>0</v>
      </c>
      <c r="E424" s="549">
        <f t="shared" si="23"/>
        <v>0</v>
      </c>
      <c r="F424" s="506">
        <f t="shared" si="19"/>
        <v>0</v>
      </c>
      <c r="G424" s="554">
        <f t="shared" si="20"/>
        <v>0</v>
      </c>
      <c r="H424" s="555">
        <f t="shared" si="21"/>
        <v>0</v>
      </c>
      <c r="I424" s="552">
        <f t="shared" si="22"/>
        <v>0</v>
      </c>
      <c r="J424" s="552"/>
      <c r="K424" s="572"/>
      <c r="L424" s="556"/>
      <c r="M424" s="572"/>
      <c r="N424" s="556"/>
      <c r="O424" s="556"/>
    </row>
    <row r="425" spans="3:15">
      <c r="C425" s="548">
        <f>IF(D363="","-",+C424+1)</f>
        <v>2070</v>
      </c>
      <c r="D425" s="506">
        <f t="shared" si="18"/>
        <v>0</v>
      </c>
      <c r="E425" s="549">
        <f t="shared" si="23"/>
        <v>0</v>
      </c>
      <c r="F425" s="506">
        <f t="shared" si="19"/>
        <v>0</v>
      </c>
      <c r="G425" s="554">
        <f t="shared" si="20"/>
        <v>0</v>
      </c>
      <c r="H425" s="555">
        <f t="shared" si="21"/>
        <v>0</v>
      </c>
      <c r="I425" s="552">
        <f t="shared" si="22"/>
        <v>0</v>
      </c>
      <c r="J425" s="552"/>
      <c r="K425" s="572"/>
      <c r="L425" s="556"/>
      <c r="M425" s="572"/>
      <c r="N425" s="556"/>
      <c r="O425" s="556"/>
    </row>
    <row r="426" spans="3:15">
      <c r="C426" s="548">
        <f>IF(D363="","-",+C425+1)</f>
        <v>2071</v>
      </c>
      <c r="D426" s="506">
        <f t="shared" si="18"/>
        <v>0</v>
      </c>
      <c r="E426" s="549">
        <f t="shared" si="23"/>
        <v>0</v>
      </c>
      <c r="F426" s="506">
        <f t="shared" si="19"/>
        <v>0</v>
      </c>
      <c r="G426" s="554">
        <f t="shared" si="20"/>
        <v>0</v>
      </c>
      <c r="H426" s="555">
        <f t="shared" si="21"/>
        <v>0</v>
      </c>
      <c r="I426" s="552">
        <f t="shared" si="22"/>
        <v>0</v>
      </c>
      <c r="J426" s="552"/>
      <c r="K426" s="572"/>
      <c r="L426" s="556"/>
      <c r="M426" s="572"/>
      <c r="N426" s="556"/>
      <c r="O426" s="556"/>
    </row>
    <row r="427" spans="3:15">
      <c r="C427" s="548">
        <f>IF(D363="","-",+C426+1)</f>
        <v>2072</v>
      </c>
      <c r="D427" s="506">
        <f t="shared" si="18"/>
        <v>0</v>
      </c>
      <c r="E427" s="549">
        <f t="shared" si="23"/>
        <v>0</v>
      </c>
      <c r="F427" s="506">
        <f t="shared" si="19"/>
        <v>0</v>
      </c>
      <c r="G427" s="554">
        <f t="shared" si="20"/>
        <v>0</v>
      </c>
      <c r="H427" s="555">
        <f t="shared" si="21"/>
        <v>0</v>
      </c>
      <c r="I427" s="552">
        <f t="shared" si="22"/>
        <v>0</v>
      </c>
      <c r="J427" s="552"/>
      <c r="K427" s="572"/>
      <c r="L427" s="556"/>
      <c r="M427" s="572"/>
      <c r="N427" s="556"/>
      <c r="O427" s="556"/>
    </row>
    <row r="428" spans="3:15" ht="13.5" thickBot="1">
      <c r="C428" s="558">
        <f>IF(D363="","-",+C427+1)</f>
        <v>2073</v>
      </c>
      <c r="D428" s="559">
        <f t="shared" si="18"/>
        <v>0</v>
      </c>
      <c r="E428" s="560">
        <f t="shared" si="23"/>
        <v>0</v>
      </c>
      <c r="F428" s="559">
        <f t="shared" si="19"/>
        <v>0</v>
      </c>
      <c r="G428" s="561">
        <f t="shared" si="20"/>
        <v>0</v>
      </c>
      <c r="H428" s="561">
        <f t="shared" si="21"/>
        <v>0</v>
      </c>
      <c r="I428" s="562">
        <f t="shared" si="22"/>
        <v>0</v>
      </c>
      <c r="J428" s="552"/>
      <c r="K428" s="573"/>
      <c r="L428" s="563"/>
      <c r="M428" s="573"/>
      <c r="N428" s="563"/>
      <c r="O428" s="563"/>
    </row>
    <row r="429" spans="3:15">
      <c r="C429" s="506" t="s">
        <v>91</v>
      </c>
      <c r="D429" s="503"/>
      <c r="E429" s="503">
        <f>SUM(E369:E428)</f>
        <v>64354282.999999993</v>
      </c>
      <c r="F429" s="503"/>
      <c r="G429" s="503">
        <f>SUM(G369:G428)</f>
        <v>198070747.67346841</v>
      </c>
      <c r="H429" s="503">
        <f>SUM(H369:H428)</f>
        <v>198070747.67346841</v>
      </c>
      <c r="I429" s="503">
        <f>SUM(I369:I428)</f>
        <v>0</v>
      </c>
      <c r="J429" s="503"/>
      <c r="K429" s="503"/>
      <c r="L429" s="503"/>
      <c r="M429" s="503"/>
      <c r="N429" s="503"/>
      <c r="O429" s="3"/>
    </row>
    <row r="430" spans="3:15">
      <c r="D430" s="47"/>
      <c r="E430" s="3"/>
      <c r="F430" s="3"/>
      <c r="G430" s="3"/>
      <c r="H430" s="490"/>
      <c r="I430" s="490"/>
      <c r="J430" s="503"/>
      <c r="K430" s="490"/>
      <c r="L430" s="490"/>
      <c r="M430" s="490"/>
      <c r="N430" s="490"/>
      <c r="O430" s="3"/>
    </row>
    <row r="431" spans="3:15">
      <c r="C431" s="3" t="s">
        <v>13</v>
      </c>
      <c r="D431" s="47"/>
      <c r="E431" s="3"/>
      <c r="F431" s="3"/>
      <c r="G431" s="3"/>
      <c r="H431" s="490"/>
      <c r="I431" s="490"/>
      <c r="J431" s="503"/>
      <c r="K431" s="490"/>
      <c r="L431" s="490"/>
      <c r="M431" s="490"/>
      <c r="N431" s="490"/>
      <c r="O431" s="3"/>
    </row>
    <row r="432" spans="3:15">
      <c r="C432" s="3"/>
      <c r="D432" s="47"/>
      <c r="E432" s="3"/>
      <c r="F432" s="3"/>
      <c r="G432" s="3"/>
      <c r="H432" s="490"/>
      <c r="I432" s="490"/>
      <c r="J432" s="503"/>
      <c r="K432" s="490"/>
      <c r="L432" s="490"/>
      <c r="M432" s="490"/>
      <c r="N432" s="490"/>
      <c r="O432" s="3"/>
    </row>
    <row r="433" spans="1:16">
      <c r="C433" s="518" t="s">
        <v>14</v>
      </c>
      <c r="D433" s="506"/>
      <c r="E433" s="506"/>
      <c r="F433" s="506"/>
      <c r="G433" s="503"/>
      <c r="H433" s="503"/>
      <c r="I433" s="564"/>
      <c r="J433" s="564"/>
      <c r="K433" s="564"/>
      <c r="L433" s="564"/>
      <c r="M433" s="564"/>
      <c r="N433" s="564"/>
      <c r="O433" s="3"/>
    </row>
    <row r="434" spans="1:16">
      <c r="C434" s="507" t="s">
        <v>271</v>
      </c>
      <c r="D434" s="506"/>
      <c r="E434" s="506"/>
      <c r="F434" s="506"/>
      <c r="G434" s="503"/>
      <c r="H434" s="503"/>
      <c r="I434" s="564"/>
      <c r="J434" s="564"/>
      <c r="K434" s="564"/>
      <c r="L434" s="564"/>
      <c r="M434" s="564"/>
      <c r="N434" s="564"/>
      <c r="O434" s="3"/>
    </row>
    <row r="435" spans="1:16">
      <c r="C435" s="507" t="s">
        <v>92</v>
      </c>
      <c r="D435" s="506"/>
      <c r="E435" s="506"/>
      <c r="F435" s="506"/>
      <c r="G435" s="503"/>
      <c r="H435" s="503"/>
      <c r="I435" s="564"/>
      <c r="J435" s="564"/>
      <c r="K435" s="564"/>
      <c r="L435" s="564"/>
      <c r="M435" s="564"/>
      <c r="N435" s="564"/>
      <c r="O435" s="3"/>
    </row>
    <row r="436" spans="1:16">
      <c r="C436" s="507"/>
      <c r="D436" s="506"/>
      <c r="E436" s="506"/>
      <c r="F436" s="506"/>
      <c r="G436" s="503"/>
      <c r="H436" s="503"/>
      <c r="I436" s="564"/>
      <c r="J436" s="564"/>
      <c r="K436" s="564"/>
      <c r="L436" s="564"/>
      <c r="M436" s="564"/>
      <c r="N436" s="564"/>
      <c r="O436" s="3"/>
    </row>
    <row r="437" spans="1:16">
      <c r="C437" s="1209" t="s">
        <v>6</v>
      </c>
      <c r="D437" s="1209"/>
      <c r="E437" s="1209"/>
      <c r="F437" s="1209"/>
      <c r="G437" s="1209"/>
      <c r="H437" s="1209"/>
      <c r="I437" s="1209"/>
      <c r="J437" s="1209"/>
      <c r="K437" s="1209"/>
      <c r="L437" s="1209"/>
      <c r="M437" s="1209"/>
      <c r="N437" s="1209"/>
      <c r="O437" s="1209"/>
    </row>
    <row r="438" spans="1:16">
      <c r="C438" s="1209"/>
      <c r="D438" s="1209"/>
      <c r="E438" s="1209"/>
      <c r="F438" s="1209"/>
      <c r="G438" s="1209"/>
      <c r="H438" s="1209"/>
      <c r="I438" s="1209"/>
      <c r="J438" s="1209"/>
      <c r="K438" s="1209"/>
      <c r="L438" s="1209"/>
      <c r="M438" s="1209"/>
      <c r="N438" s="1209"/>
      <c r="O438" s="1209"/>
    </row>
    <row r="439" spans="1:16">
      <c r="B439" s="3"/>
      <c r="C439" s="3"/>
      <c r="D439" s="47"/>
      <c r="E439" s="3"/>
      <c r="F439" s="3"/>
      <c r="G439" s="3"/>
      <c r="H439" s="490"/>
      <c r="I439" s="3"/>
      <c r="J439" s="3"/>
      <c r="K439" s="3"/>
      <c r="L439" s="3"/>
      <c r="M439" s="3"/>
      <c r="N439" s="3"/>
      <c r="O439" s="3"/>
    </row>
    <row r="440" spans="1:16" ht="20.25">
      <c r="A440" s="447" t="str">
        <f>""&amp;A364&amp;" Worksheet J -  ATRR PROJECTED Calculation for PJM Projects Charged to Benefiting Zones"</f>
        <v xml:space="preserve"> Worksheet J -  ATRR PROJECTED Calculation for PJM Projects Charged to Benefiting Zones</v>
      </c>
      <c r="B440" s="3"/>
      <c r="C440" s="3"/>
      <c r="D440" s="47"/>
      <c r="E440" s="3"/>
      <c r="F440" s="489"/>
      <c r="G440" s="3"/>
      <c r="H440" s="490"/>
      <c r="K440" s="398"/>
      <c r="L440" s="398"/>
      <c r="M440" s="398"/>
      <c r="N440" s="398" t="str">
        <f>"Page "&amp;SUM(P$8:P440)&amp;" of "</f>
        <v xml:space="preserve">Page 6 of </v>
      </c>
      <c r="O440" s="448">
        <f>COUNT(P$8:P$56656)</f>
        <v>11</v>
      </c>
      <c r="P440">
        <v>1</v>
      </c>
    </row>
    <row r="441" spans="1:16" ht="20.25">
      <c r="A441" s="447"/>
      <c r="B441" s="3"/>
      <c r="C441" s="3"/>
      <c r="D441" s="47"/>
      <c r="E441" s="3"/>
      <c r="F441" s="489"/>
      <c r="G441" s="3"/>
      <c r="H441" s="490"/>
      <c r="K441" s="398"/>
      <c r="L441" s="398"/>
      <c r="M441" s="398"/>
      <c r="N441" s="398"/>
      <c r="O441" s="448"/>
    </row>
    <row r="442" spans="1:16" ht="18">
      <c r="B442" s="449" t="s">
        <v>472</v>
      </c>
      <c r="C442" s="122" t="s">
        <v>93</v>
      </c>
      <c r="D442" s="47"/>
      <c r="E442" s="3"/>
      <c r="F442" s="3"/>
      <c r="G442" s="3"/>
      <c r="H442" s="490"/>
      <c r="I442" s="490"/>
      <c r="J442" s="503"/>
      <c r="K442" s="490"/>
      <c r="L442" s="490"/>
      <c r="M442" s="490"/>
      <c r="N442" s="490"/>
      <c r="O442" s="3"/>
    </row>
    <row r="443" spans="1:16" ht="18.75">
      <c r="B443" s="449"/>
      <c r="C443" s="6"/>
      <c r="D443" s="47"/>
      <c r="E443" s="3"/>
      <c r="F443" s="3"/>
      <c r="G443" s="3"/>
      <c r="H443" s="490"/>
      <c r="I443" s="490"/>
      <c r="J443" s="503"/>
      <c r="K443" s="490"/>
      <c r="L443" s="490"/>
      <c r="M443" s="490"/>
      <c r="N443" s="490"/>
      <c r="O443" s="3"/>
    </row>
    <row r="444" spans="1:16" ht="18.75">
      <c r="B444" s="449"/>
      <c r="C444" s="6" t="s">
        <v>94</v>
      </c>
      <c r="D444" s="47"/>
      <c r="E444" s="3"/>
      <c r="F444" s="3"/>
      <c r="G444" s="3"/>
      <c r="H444" s="490"/>
      <c r="I444" s="490"/>
      <c r="J444" s="503"/>
      <c r="K444" s="490"/>
      <c r="L444" s="490"/>
      <c r="M444" s="490"/>
      <c r="N444" s="490"/>
      <c r="O444" s="3"/>
    </row>
    <row r="445" spans="1:16" ht="15.75" thickBot="1">
      <c r="C445" s="132"/>
      <c r="D445" s="47"/>
      <c r="E445" s="3"/>
      <c r="F445" s="3"/>
      <c r="G445" s="3"/>
      <c r="H445" s="490"/>
      <c r="I445" s="490"/>
      <c r="J445" s="503"/>
      <c r="K445" s="490"/>
      <c r="L445" s="490"/>
      <c r="M445" s="490"/>
      <c r="N445" s="490"/>
      <c r="O445" s="3"/>
    </row>
    <row r="446" spans="1:16" ht="15.75">
      <c r="C446" s="451" t="s">
        <v>95</v>
      </c>
      <c r="D446" s="47"/>
      <c r="E446" s="3"/>
      <c r="F446" s="3"/>
      <c r="G446" s="566"/>
      <c r="H446" s="3" t="s">
        <v>74</v>
      </c>
      <c r="I446" s="3"/>
      <c r="J446" s="3"/>
      <c r="K446" s="509" t="s">
        <v>99</v>
      </c>
      <c r="L446" s="510"/>
      <c r="M446" s="511"/>
      <c r="N446" s="512">
        <f>IF(I452=0,0,VLOOKUP(I452,C459:O518,5))</f>
        <v>10956481.886871981</v>
      </c>
      <c r="O446" s="3"/>
    </row>
    <row r="447" spans="1:16" ht="15.75">
      <c r="C447" s="451"/>
      <c r="D447" s="47"/>
      <c r="E447" s="3"/>
      <c r="F447" s="3"/>
      <c r="G447" s="3"/>
      <c r="H447" s="513"/>
      <c r="I447" s="513"/>
      <c r="J447" s="514"/>
      <c r="K447" s="515" t="s">
        <v>100</v>
      </c>
      <c r="L447" s="516"/>
      <c r="M447" s="3"/>
      <c r="N447" s="517">
        <f>IF(I452=0,0,VLOOKUP(I452,C459:O518,6))</f>
        <v>10956481.886871981</v>
      </c>
      <c r="O447" s="3"/>
    </row>
    <row r="448" spans="1:16" ht="13.5" thickBot="1">
      <c r="C448" s="518" t="s">
        <v>96</v>
      </c>
      <c r="D448" s="1210" t="s">
        <v>819</v>
      </c>
      <c r="E448" s="1210"/>
      <c r="F448" s="1210"/>
      <c r="G448" s="1210"/>
      <c r="H448" s="1210"/>
      <c r="I448" s="1210"/>
      <c r="J448" s="503"/>
      <c r="K448" s="519" t="s">
        <v>238</v>
      </c>
      <c r="L448" s="520"/>
      <c r="M448" s="520"/>
      <c r="N448" s="521">
        <f>+N447-N446</f>
        <v>0</v>
      </c>
      <c r="O448" s="3"/>
    </row>
    <row r="449" spans="2:15">
      <c r="C449" s="522"/>
      <c r="D449" s="1210"/>
      <c r="E449" s="1210"/>
      <c r="F449" s="1210"/>
      <c r="G449" s="1210"/>
      <c r="H449" s="1210"/>
      <c r="I449" s="1210"/>
      <c r="J449" s="503"/>
      <c r="K449" s="490"/>
      <c r="L449" s="490"/>
      <c r="M449" s="490"/>
      <c r="N449" s="490"/>
      <c r="O449" s="3"/>
    </row>
    <row r="450" spans="2:15" ht="13.5" thickBot="1">
      <c r="C450" s="522"/>
      <c r="D450" s="3"/>
      <c r="E450" s="524"/>
      <c r="F450" s="524"/>
      <c r="G450" s="524"/>
      <c r="H450" s="524"/>
      <c r="I450" s="524"/>
      <c r="J450" s="524"/>
      <c r="K450" s="524"/>
      <c r="L450" s="524"/>
      <c r="M450" s="524"/>
      <c r="N450" s="524"/>
      <c r="O450" s="3"/>
    </row>
    <row r="451" spans="2:15" ht="13.5" thickBot="1">
      <c r="C451" s="525" t="s">
        <v>97</v>
      </c>
      <c r="D451" s="526"/>
      <c r="E451" s="526"/>
      <c r="F451" s="526"/>
      <c r="G451" s="526"/>
      <c r="H451" s="526"/>
      <c r="I451" s="527"/>
      <c r="K451" s="3"/>
      <c r="L451" s="3"/>
      <c r="M451" s="3"/>
      <c r="N451" s="3"/>
      <c r="O451" s="3"/>
    </row>
    <row r="452" spans="2:15" ht="15">
      <c r="C452" s="528" t="s">
        <v>75</v>
      </c>
      <c r="D452" s="568">
        <v>99133292</v>
      </c>
      <c r="E452" s="3" t="s">
        <v>76</v>
      </c>
      <c r="G452" s="47"/>
      <c r="H452" s="47"/>
      <c r="I452" s="529">
        <f>$L$26</f>
        <v>2025</v>
      </c>
      <c r="J452" s="70"/>
      <c r="K452" s="1211" t="s">
        <v>247</v>
      </c>
      <c r="L452" s="1211"/>
      <c r="M452" s="1211"/>
      <c r="N452" s="1211"/>
      <c r="O452" s="1211"/>
    </row>
    <row r="453" spans="2:15">
      <c r="C453" s="528" t="s">
        <v>78</v>
      </c>
      <c r="D453" s="569">
        <v>2016</v>
      </c>
      <c r="E453" s="528" t="s">
        <v>79</v>
      </c>
      <c r="F453" s="47"/>
      <c r="H453"/>
      <c r="I453" s="570">
        <f>IF(G446="",0,$F$17)</f>
        <v>0</v>
      </c>
      <c r="J453" s="530"/>
      <c r="K453" s="503" t="s">
        <v>247</v>
      </c>
    </row>
    <row r="454" spans="2:15">
      <c r="C454" s="528" t="s">
        <v>80</v>
      </c>
      <c r="D454" s="568">
        <v>6</v>
      </c>
      <c r="E454" s="528" t="s">
        <v>81</v>
      </c>
      <c r="F454" s="47"/>
      <c r="H454"/>
      <c r="I454" s="531">
        <f>$G$70</f>
        <v>0.11032660055737779</v>
      </c>
      <c r="J454" s="489"/>
      <c r="K454" t="str">
        <f>"          INPUT PROJECTED ARR (WITH &amp; WITHOUT INCENTIVES) FROM EACH PRIOR YEAR"</f>
        <v xml:space="preserve">          INPUT PROJECTED ARR (WITH &amp; WITHOUT INCENTIVES) FROM EACH PRIOR YEAR</v>
      </c>
    </row>
    <row r="455" spans="2:15">
      <c r="C455" s="528" t="s">
        <v>82</v>
      </c>
      <c r="D455" s="532">
        <f>$G$79</f>
        <v>36</v>
      </c>
      <c r="E455" s="528" t="s">
        <v>83</v>
      </c>
      <c r="F455" s="47"/>
      <c r="H455"/>
      <c r="I455" s="531">
        <f>IF(G446="",I454,$G$69)</f>
        <v>0.11032660055737779</v>
      </c>
      <c r="J455" s="489"/>
      <c r="K455" t="s">
        <v>160</v>
      </c>
    </row>
    <row r="456" spans="2:15" ht="13.5" thickBot="1">
      <c r="C456" s="528" t="s">
        <v>84</v>
      </c>
      <c r="D456" s="567" t="s">
        <v>812</v>
      </c>
      <c r="E456" s="533" t="s">
        <v>85</v>
      </c>
      <c r="F456" s="534"/>
      <c r="G456" s="535"/>
      <c r="H456" s="535"/>
      <c r="I456" s="521">
        <f>IF(D452=0,0,D452/D455)</f>
        <v>2753702.5555555555</v>
      </c>
      <c r="J456" s="503"/>
      <c r="K456" s="503" t="s">
        <v>166</v>
      </c>
      <c r="L456" s="503"/>
      <c r="M456" s="503"/>
      <c r="N456" s="503"/>
      <c r="O456" s="3"/>
    </row>
    <row r="457" spans="2:15" ht="51">
      <c r="B457" s="450"/>
      <c r="C457" s="536" t="s">
        <v>75</v>
      </c>
      <c r="D457" s="537" t="s">
        <v>86</v>
      </c>
      <c r="E457" s="538" t="s">
        <v>87</v>
      </c>
      <c r="F457" s="537" t="s">
        <v>88</v>
      </c>
      <c r="G457" s="538" t="s">
        <v>159</v>
      </c>
      <c r="H457" s="539" t="s">
        <v>159</v>
      </c>
      <c r="I457" s="536" t="s">
        <v>98</v>
      </c>
      <c r="J457" s="540"/>
      <c r="K457" s="538" t="s">
        <v>168</v>
      </c>
      <c r="L457" s="541"/>
      <c r="M457" s="538" t="s">
        <v>168</v>
      </c>
      <c r="N457" s="541"/>
      <c r="O457" s="541"/>
    </row>
    <row r="458" spans="2:15" ht="13.5" thickBot="1">
      <c r="C458" s="542" t="s">
        <v>475</v>
      </c>
      <c r="D458" s="543" t="s">
        <v>476</v>
      </c>
      <c r="E458" s="542" t="s">
        <v>369</v>
      </c>
      <c r="F458" s="543" t="s">
        <v>476</v>
      </c>
      <c r="G458" s="544" t="s">
        <v>101</v>
      </c>
      <c r="H458" s="545" t="s">
        <v>103</v>
      </c>
      <c r="I458" s="542" t="s">
        <v>15</v>
      </c>
      <c r="J458" s="546"/>
      <c r="K458" s="544" t="s">
        <v>90</v>
      </c>
      <c r="L458" s="547"/>
      <c r="M458" s="544" t="s">
        <v>103</v>
      </c>
      <c r="N458" s="547"/>
      <c r="O458" s="547"/>
    </row>
    <row r="459" spans="2:15">
      <c r="C459" s="548">
        <f>IF(D453= "","-",D453)</f>
        <v>2016</v>
      </c>
      <c r="D459" s="506">
        <f>+D452</f>
        <v>99133292</v>
      </c>
      <c r="E459" s="549">
        <f>+I456/12*(12-D454)</f>
        <v>1376851.2777777778</v>
      </c>
      <c r="F459" s="506">
        <f>+D459-E459</f>
        <v>97756440.722222224</v>
      </c>
      <c r="G459" s="731">
        <f>+$I$96*((D459+F459)/2)+E459</f>
        <v>12237938.72572452</v>
      </c>
      <c r="H459" s="732">
        <f>$I$97*((D459+F459)/2)+E459</f>
        <v>12237938.72572452</v>
      </c>
      <c r="I459" s="552">
        <f>+H459-G459</f>
        <v>0</v>
      </c>
      <c r="J459" s="552"/>
      <c r="K459" s="571">
        <v>8211582</v>
      </c>
      <c r="L459" s="553"/>
      <c r="M459" s="571">
        <v>8211582</v>
      </c>
      <c r="N459" s="553"/>
      <c r="O459" s="553"/>
    </row>
    <row r="460" spans="2:15">
      <c r="C460" s="548">
        <f>IF(D453="","-",+C459+1)</f>
        <v>2017</v>
      </c>
      <c r="D460" s="506">
        <f t="shared" ref="D460:D518" si="24">F459</f>
        <v>97756440.722222224</v>
      </c>
      <c r="E460" s="549">
        <f>IF(D460&gt;$I$456,$I$456,D460)</f>
        <v>2753702.5555555555</v>
      </c>
      <c r="F460" s="506">
        <f t="shared" ref="F460:F518" si="25">+D460-E460</f>
        <v>95002738.166666672</v>
      </c>
      <c r="G460" s="554">
        <f t="shared" ref="G460:G518" si="26">+$I$96*((D460+F460)/2)+E460</f>
        <v>13386935.022076843</v>
      </c>
      <c r="H460" s="555">
        <f t="shared" ref="H460:H518" si="27">$I$97*((D460+F460)/2)+E460</f>
        <v>13386935.022076843</v>
      </c>
      <c r="I460" s="552">
        <f t="shared" ref="I460:I518" si="28">+H460-G460</f>
        <v>0</v>
      </c>
      <c r="J460" s="552"/>
      <c r="K460" s="572">
        <v>9400319</v>
      </c>
      <c r="L460" s="556"/>
      <c r="M460" s="572">
        <v>9400319</v>
      </c>
      <c r="N460" s="556"/>
      <c r="O460" s="556"/>
    </row>
    <row r="461" spans="2:15">
      <c r="C461" s="966">
        <f>IF(D453="","-",+C460+1)</f>
        <v>2018</v>
      </c>
      <c r="D461" s="506">
        <f t="shared" si="24"/>
        <v>95002738.166666672</v>
      </c>
      <c r="E461" s="549">
        <f t="shared" ref="E461:E518" si="29">IF(D461&gt;$I$456,$I$456,D461)</f>
        <v>2753702.5555555555</v>
      </c>
      <c r="F461" s="506">
        <f t="shared" si="25"/>
        <v>92249035.611111119</v>
      </c>
      <c r="G461" s="554">
        <f t="shared" si="26"/>
        <v>13083128.380176235</v>
      </c>
      <c r="H461" s="555">
        <f t="shared" si="27"/>
        <v>13083128.380176235</v>
      </c>
      <c r="I461" s="552">
        <f t="shared" si="28"/>
        <v>0</v>
      </c>
      <c r="J461" s="552"/>
      <c r="K461" s="572">
        <v>11231831</v>
      </c>
      <c r="L461" s="556"/>
      <c r="M461" s="572">
        <v>11231831</v>
      </c>
      <c r="N461" s="556"/>
      <c r="O461" s="556"/>
    </row>
    <row r="462" spans="2:15">
      <c r="C462" s="956">
        <f>IF(D453="","-",+C461+1)</f>
        <v>2019</v>
      </c>
      <c r="D462" s="506">
        <f t="shared" si="24"/>
        <v>92249035.611111119</v>
      </c>
      <c r="E462" s="549">
        <f t="shared" si="29"/>
        <v>2753702.5555555555</v>
      </c>
      <c r="F462" s="506">
        <f t="shared" si="25"/>
        <v>89495333.055555567</v>
      </c>
      <c r="G462" s="554">
        <f t="shared" si="26"/>
        <v>12779321.738275629</v>
      </c>
      <c r="H462" s="555">
        <f t="shared" si="27"/>
        <v>12779321.738275629</v>
      </c>
      <c r="I462" s="552">
        <f t="shared" si="28"/>
        <v>0</v>
      </c>
      <c r="J462" s="552"/>
      <c r="K462" s="572"/>
      <c r="L462" s="556"/>
      <c r="M462" s="572"/>
      <c r="N462" s="556"/>
      <c r="O462" s="556"/>
    </row>
    <row r="463" spans="2:15">
      <c r="C463" s="548">
        <f>IF(D453="","-",+C462+1)</f>
        <v>2020</v>
      </c>
      <c r="D463" s="506">
        <f t="shared" si="24"/>
        <v>89495333.055555567</v>
      </c>
      <c r="E463" s="549">
        <f t="shared" si="29"/>
        <v>2753702.5555555555</v>
      </c>
      <c r="F463" s="506">
        <f t="shared" si="25"/>
        <v>86741630.500000015</v>
      </c>
      <c r="G463" s="554">
        <f t="shared" si="26"/>
        <v>12475515.09637502</v>
      </c>
      <c r="H463" s="555">
        <f t="shared" si="27"/>
        <v>12475515.09637502</v>
      </c>
      <c r="I463" s="552">
        <f t="shared" si="28"/>
        <v>0</v>
      </c>
      <c r="J463" s="552"/>
      <c r="K463" s="572"/>
      <c r="L463" s="556"/>
      <c r="M463" s="572"/>
      <c r="N463" s="556"/>
      <c r="O463" s="556"/>
    </row>
    <row r="464" spans="2:15">
      <c r="C464" s="548">
        <f>IF(D453="","-",+C463+1)</f>
        <v>2021</v>
      </c>
      <c r="D464" s="506">
        <f t="shared" si="24"/>
        <v>86741630.500000015</v>
      </c>
      <c r="E464" s="549">
        <f t="shared" si="29"/>
        <v>2753702.5555555555</v>
      </c>
      <c r="F464" s="506">
        <f t="shared" si="25"/>
        <v>83987927.944444463</v>
      </c>
      <c r="G464" s="554">
        <f t="shared" si="26"/>
        <v>12171708.454474412</v>
      </c>
      <c r="H464" s="555">
        <f t="shared" si="27"/>
        <v>12171708.454474412</v>
      </c>
      <c r="I464" s="552">
        <f t="shared" si="28"/>
        <v>0</v>
      </c>
      <c r="J464" s="552"/>
      <c r="K464" s="572"/>
      <c r="L464" s="556"/>
      <c r="M464" s="572"/>
      <c r="N464" s="556"/>
      <c r="O464" s="556"/>
    </row>
    <row r="465" spans="3:15">
      <c r="C465" s="548">
        <f>IF(D453="","-",+C464+1)</f>
        <v>2022</v>
      </c>
      <c r="D465" s="506">
        <f t="shared" si="24"/>
        <v>83987927.944444463</v>
      </c>
      <c r="E465" s="549">
        <f t="shared" si="29"/>
        <v>2753702.5555555555</v>
      </c>
      <c r="F465" s="506">
        <f t="shared" si="25"/>
        <v>81234225.38888891</v>
      </c>
      <c r="G465" s="554">
        <f t="shared" si="26"/>
        <v>11867901.812573804</v>
      </c>
      <c r="H465" s="555">
        <f t="shared" si="27"/>
        <v>11867901.812573804</v>
      </c>
      <c r="I465" s="552">
        <f t="shared" si="28"/>
        <v>0</v>
      </c>
      <c r="J465" s="552"/>
      <c r="K465" s="572"/>
      <c r="L465" s="556"/>
      <c r="M465" s="572"/>
      <c r="N465" s="556"/>
      <c r="O465" s="556"/>
    </row>
    <row r="466" spans="3:15">
      <c r="C466" s="548">
        <f>IF(D453="","-",+C465+1)</f>
        <v>2023</v>
      </c>
      <c r="D466" s="506">
        <f t="shared" si="24"/>
        <v>81234225.38888891</v>
      </c>
      <c r="E466" s="549">
        <f t="shared" si="29"/>
        <v>2753702.5555555555</v>
      </c>
      <c r="F466" s="506">
        <f t="shared" si="25"/>
        <v>78480522.833333358</v>
      </c>
      <c r="G466" s="554">
        <f t="shared" si="26"/>
        <v>11564095.170673197</v>
      </c>
      <c r="H466" s="555">
        <f t="shared" si="27"/>
        <v>11564095.170673197</v>
      </c>
      <c r="I466" s="552">
        <f t="shared" si="28"/>
        <v>0</v>
      </c>
      <c r="J466" s="552"/>
      <c r="K466" s="572"/>
      <c r="L466" s="556"/>
      <c r="M466" s="572"/>
      <c r="N466" s="556"/>
      <c r="O466" s="556"/>
    </row>
    <row r="467" spans="3:15">
      <c r="C467" s="548">
        <f>IF(D453="","-",+C466+1)</f>
        <v>2024</v>
      </c>
      <c r="D467" s="506">
        <f t="shared" si="24"/>
        <v>78480522.833333358</v>
      </c>
      <c r="E467" s="549">
        <f t="shared" si="29"/>
        <v>2753702.5555555555</v>
      </c>
      <c r="F467" s="506">
        <f t="shared" si="25"/>
        <v>75726820.277777806</v>
      </c>
      <c r="G467" s="554">
        <f t="shared" si="26"/>
        <v>11260288.528772589</v>
      </c>
      <c r="H467" s="555">
        <f t="shared" si="27"/>
        <v>11260288.528772589</v>
      </c>
      <c r="I467" s="552">
        <f t="shared" si="28"/>
        <v>0</v>
      </c>
      <c r="J467" s="552"/>
      <c r="K467" s="572"/>
      <c r="L467" s="556"/>
      <c r="M467" s="572"/>
      <c r="N467" s="556"/>
      <c r="O467" s="556"/>
    </row>
    <row r="468" spans="3:15">
      <c r="C468" s="548">
        <f>IF(D453="","-",+C467+1)</f>
        <v>2025</v>
      </c>
      <c r="D468" s="506">
        <f t="shared" si="24"/>
        <v>75726820.277777806</v>
      </c>
      <c r="E468" s="549">
        <f t="shared" si="29"/>
        <v>2753702.5555555555</v>
      </c>
      <c r="F468" s="506">
        <f t="shared" si="25"/>
        <v>72973117.722222254</v>
      </c>
      <c r="G468" s="554">
        <f t="shared" si="26"/>
        <v>10956481.886871981</v>
      </c>
      <c r="H468" s="555">
        <f t="shared" si="27"/>
        <v>10956481.886871981</v>
      </c>
      <c r="I468" s="552">
        <f t="shared" si="28"/>
        <v>0</v>
      </c>
      <c r="J468" s="552"/>
      <c r="K468" s="572"/>
      <c r="L468" s="556"/>
      <c r="M468" s="572"/>
      <c r="N468" s="556"/>
      <c r="O468" s="556"/>
    </row>
    <row r="469" spans="3:15">
      <c r="C469" s="548">
        <f>IF(D453="","-",+C468+1)</f>
        <v>2026</v>
      </c>
      <c r="D469" s="506">
        <f t="shared" si="24"/>
        <v>72973117.722222254</v>
      </c>
      <c r="E469" s="549">
        <f t="shared" si="29"/>
        <v>2753702.5555555555</v>
      </c>
      <c r="F469" s="506">
        <f t="shared" si="25"/>
        <v>70219415.166666701</v>
      </c>
      <c r="G469" s="554">
        <f t="shared" si="26"/>
        <v>10652675.244971372</v>
      </c>
      <c r="H469" s="555">
        <f t="shared" si="27"/>
        <v>10652675.244971372</v>
      </c>
      <c r="I469" s="552">
        <f t="shared" si="28"/>
        <v>0</v>
      </c>
      <c r="J469" s="552"/>
      <c r="K469" s="572"/>
      <c r="L469" s="556"/>
      <c r="M469" s="572"/>
      <c r="N469" s="556"/>
      <c r="O469" s="556"/>
    </row>
    <row r="470" spans="3:15">
      <c r="C470" s="548">
        <f>IF(D453="","-",+C469+1)</f>
        <v>2027</v>
      </c>
      <c r="D470" s="506">
        <f t="shared" si="24"/>
        <v>70219415.166666701</v>
      </c>
      <c r="E470" s="549">
        <f t="shared" si="29"/>
        <v>2753702.5555555555</v>
      </c>
      <c r="F470" s="506">
        <f t="shared" si="25"/>
        <v>67465712.611111149</v>
      </c>
      <c r="G470" s="554">
        <f t="shared" si="26"/>
        <v>10348868.603070764</v>
      </c>
      <c r="H470" s="555">
        <f t="shared" si="27"/>
        <v>10348868.603070764</v>
      </c>
      <c r="I470" s="552">
        <f t="shared" si="28"/>
        <v>0</v>
      </c>
      <c r="J470" s="552"/>
      <c r="K470" s="572"/>
      <c r="L470" s="556"/>
      <c r="M470" s="572"/>
      <c r="N470" s="556"/>
      <c r="O470" s="556"/>
    </row>
    <row r="471" spans="3:15">
      <c r="C471" s="548">
        <f>IF(D453="","-",+C470+1)</f>
        <v>2028</v>
      </c>
      <c r="D471" s="506">
        <f t="shared" si="24"/>
        <v>67465712.611111149</v>
      </c>
      <c r="E471" s="549">
        <f t="shared" si="29"/>
        <v>2753702.5555555555</v>
      </c>
      <c r="F471" s="506">
        <f t="shared" si="25"/>
        <v>64712010.055555597</v>
      </c>
      <c r="G471" s="554">
        <f t="shared" si="26"/>
        <v>10045061.961170157</v>
      </c>
      <c r="H471" s="555">
        <f t="shared" si="27"/>
        <v>10045061.961170157</v>
      </c>
      <c r="I471" s="552">
        <f t="shared" si="28"/>
        <v>0</v>
      </c>
      <c r="J471" s="552"/>
      <c r="K471" s="572"/>
      <c r="L471" s="556"/>
      <c r="M471" s="572"/>
      <c r="N471" s="557"/>
      <c r="O471" s="556"/>
    </row>
    <row r="472" spans="3:15">
      <c r="C472" s="548">
        <f>IF(D453="","-",+C471+1)</f>
        <v>2029</v>
      </c>
      <c r="D472" s="506">
        <f t="shared" si="24"/>
        <v>64712010.055555597</v>
      </c>
      <c r="E472" s="549">
        <f t="shared" si="29"/>
        <v>2753702.5555555555</v>
      </c>
      <c r="F472" s="506">
        <f t="shared" si="25"/>
        <v>61958307.500000045</v>
      </c>
      <c r="G472" s="554">
        <f t="shared" si="26"/>
        <v>9741255.3192695491</v>
      </c>
      <c r="H472" s="555">
        <f t="shared" si="27"/>
        <v>9741255.3192695491</v>
      </c>
      <c r="I472" s="552">
        <f t="shared" si="28"/>
        <v>0</v>
      </c>
      <c r="J472" s="552"/>
      <c r="K472" s="572"/>
      <c r="L472" s="556"/>
      <c r="M472" s="572"/>
      <c r="N472" s="556"/>
      <c r="O472" s="556"/>
    </row>
    <row r="473" spans="3:15">
      <c r="C473" s="548">
        <f>IF(D453="","-",+C472+1)</f>
        <v>2030</v>
      </c>
      <c r="D473" s="506">
        <f t="shared" si="24"/>
        <v>61958307.500000045</v>
      </c>
      <c r="E473" s="549">
        <f t="shared" si="29"/>
        <v>2753702.5555555555</v>
      </c>
      <c r="F473" s="506">
        <f t="shared" si="25"/>
        <v>59204604.944444492</v>
      </c>
      <c r="G473" s="554">
        <f t="shared" si="26"/>
        <v>9437448.6773689408</v>
      </c>
      <c r="H473" s="555">
        <f t="shared" si="27"/>
        <v>9437448.6773689408</v>
      </c>
      <c r="I473" s="552">
        <f t="shared" si="28"/>
        <v>0</v>
      </c>
      <c r="J473" s="552"/>
      <c r="K473" s="572"/>
      <c r="L473" s="556"/>
      <c r="M473" s="572"/>
      <c r="N473" s="556"/>
      <c r="O473" s="556"/>
    </row>
    <row r="474" spans="3:15">
      <c r="C474" s="548">
        <f>IF(D453="","-",+C473+1)</f>
        <v>2031</v>
      </c>
      <c r="D474" s="506">
        <f t="shared" si="24"/>
        <v>59204604.944444492</v>
      </c>
      <c r="E474" s="549">
        <f t="shared" si="29"/>
        <v>2753702.5555555555</v>
      </c>
      <c r="F474" s="506">
        <f t="shared" si="25"/>
        <v>56450902.38888894</v>
      </c>
      <c r="G474" s="554">
        <f t="shared" si="26"/>
        <v>9133642.0354683325</v>
      </c>
      <c r="H474" s="555">
        <f t="shared" si="27"/>
        <v>9133642.0354683325</v>
      </c>
      <c r="I474" s="552">
        <f t="shared" si="28"/>
        <v>0</v>
      </c>
      <c r="J474" s="552"/>
      <c r="K474" s="572"/>
      <c r="L474" s="556"/>
      <c r="M474" s="572"/>
      <c r="N474" s="556"/>
      <c r="O474" s="556"/>
    </row>
    <row r="475" spans="3:15">
      <c r="C475" s="548">
        <f>IF(D453="","-",+C474+1)</f>
        <v>2032</v>
      </c>
      <c r="D475" s="506">
        <f t="shared" si="24"/>
        <v>56450902.38888894</v>
      </c>
      <c r="E475" s="549">
        <f t="shared" si="29"/>
        <v>2753702.5555555555</v>
      </c>
      <c r="F475" s="506">
        <f t="shared" si="25"/>
        <v>53697199.833333388</v>
      </c>
      <c r="G475" s="554">
        <f t="shared" si="26"/>
        <v>8829835.393567726</v>
      </c>
      <c r="H475" s="555">
        <f t="shared" si="27"/>
        <v>8829835.393567726</v>
      </c>
      <c r="I475" s="552">
        <f t="shared" si="28"/>
        <v>0</v>
      </c>
      <c r="J475" s="552"/>
      <c r="K475" s="572"/>
      <c r="L475" s="556"/>
      <c r="M475" s="572"/>
      <c r="N475" s="556"/>
      <c r="O475" s="556"/>
    </row>
    <row r="476" spans="3:15">
      <c r="C476" s="548">
        <f>IF(D453="","-",+C475+1)</f>
        <v>2033</v>
      </c>
      <c r="D476" s="506">
        <f t="shared" si="24"/>
        <v>53697199.833333388</v>
      </c>
      <c r="E476" s="549">
        <f t="shared" si="29"/>
        <v>2753702.5555555555</v>
      </c>
      <c r="F476" s="506">
        <f t="shared" si="25"/>
        <v>50943497.277777836</v>
      </c>
      <c r="G476" s="554">
        <f t="shared" si="26"/>
        <v>8526028.7516671177</v>
      </c>
      <c r="H476" s="555">
        <f t="shared" si="27"/>
        <v>8526028.7516671177</v>
      </c>
      <c r="I476" s="552">
        <f t="shared" si="28"/>
        <v>0</v>
      </c>
      <c r="J476" s="552"/>
      <c r="K476" s="572"/>
      <c r="L476" s="556"/>
      <c r="M476" s="572"/>
      <c r="N476" s="556"/>
      <c r="O476" s="556"/>
    </row>
    <row r="477" spans="3:15">
      <c r="C477" s="548">
        <f>IF(D453="","-",+C476+1)</f>
        <v>2034</v>
      </c>
      <c r="D477" s="506">
        <f t="shared" si="24"/>
        <v>50943497.277777836</v>
      </c>
      <c r="E477" s="549">
        <f t="shared" si="29"/>
        <v>2753702.5555555555</v>
      </c>
      <c r="F477" s="506">
        <f t="shared" si="25"/>
        <v>48189794.722222283</v>
      </c>
      <c r="G477" s="554">
        <f t="shared" si="26"/>
        <v>8222222.1097665094</v>
      </c>
      <c r="H477" s="555">
        <f t="shared" si="27"/>
        <v>8222222.1097665094</v>
      </c>
      <c r="I477" s="552">
        <f t="shared" si="28"/>
        <v>0</v>
      </c>
      <c r="J477" s="552"/>
      <c r="K477" s="572"/>
      <c r="L477" s="556"/>
      <c r="M477" s="572"/>
      <c r="N477" s="556"/>
      <c r="O477" s="556"/>
    </row>
    <row r="478" spans="3:15">
      <c r="C478" s="548">
        <f>IF(D453="","-",+C477+1)</f>
        <v>2035</v>
      </c>
      <c r="D478" s="506">
        <f t="shared" si="24"/>
        <v>48189794.722222283</v>
      </c>
      <c r="E478" s="549">
        <f t="shared" si="29"/>
        <v>2753702.5555555555</v>
      </c>
      <c r="F478" s="506">
        <f t="shared" si="25"/>
        <v>45436092.166666731</v>
      </c>
      <c r="G478" s="554">
        <f t="shared" si="26"/>
        <v>7918415.4678659029</v>
      </c>
      <c r="H478" s="555">
        <f t="shared" si="27"/>
        <v>7918415.4678659029</v>
      </c>
      <c r="I478" s="552">
        <f t="shared" si="28"/>
        <v>0</v>
      </c>
      <c r="J478" s="552"/>
      <c r="K478" s="572"/>
      <c r="L478" s="556"/>
      <c r="M478" s="572"/>
      <c r="N478" s="556"/>
      <c r="O478" s="556"/>
    </row>
    <row r="479" spans="3:15">
      <c r="C479" s="548">
        <f>IF(D453="","-",+C478+1)</f>
        <v>2036</v>
      </c>
      <c r="D479" s="506">
        <f t="shared" si="24"/>
        <v>45436092.166666731</v>
      </c>
      <c r="E479" s="549">
        <f t="shared" si="29"/>
        <v>2753702.5555555555</v>
      </c>
      <c r="F479" s="506">
        <f t="shared" si="25"/>
        <v>42682389.611111179</v>
      </c>
      <c r="G479" s="554">
        <f t="shared" si="26"/>
        <v>7614608.8259652946</v>
      </c>
      <c r="H479" s="555">
        <f t="shared" si="27"/>
        <v>7614608.8259652946</v>
      </c>
      <c r="I479" s="552">
        <f t="shared" si="28"/>
        <v>0</v>
      </c>
      <c r="J479" s="552"/>
      <c r="K479" s="572"/>
      <c r="L479" s="556"/>
      <c r="M479" s="572"/>
      <c r="N479" s="556"/>
      <c r="O479" s="556"/>
    </row>
    <row r="480" spans="3:15">
      <c r="C480" s="548">
        <f>IF(D453="","-",+C479+1)</f>
        <v>2037</v>
      </c>
      <c r="D480" s="506">
        <f t="shared" si="24"/>
        <v>42682389.611111179</v>
      </c>
      <c r="E480" s="549">
        <f t="shared" si="29"/>
        <v>2753702.5555555555</v>
      </c>
      <c r="F480" s="506">
        <f t="shared" si="25"/>
        <v>39928687.055555627</v>
      </c>
      <c r="G480" s="554">
        <f t="shared" si="26"/>
        <v>7310802.1840646863</v>
      </c>
      <c r="H480" s="555">
        <f t="shared" si="27"/>
        <v>7310802.1840646863</v>
      </c>
      <c r="I480" s="552">
        <f t="shared" si="28"/>
        <v>0</v>
      </c>
      <c r="J480" s="552"/>
      <c r="K480" s="572"/>
      <c r="L480" s="556"/>
      <c r="M480" s="572"/>
      <c r="N480" s="556"/>
      <c r="O480" s="556"/>
    </row>
    <row r="481" spans="3:15">
      <c r="C481" s="548">
        <f>IF(D453="","-",+C480+1)</f>
        <v>2038</v>
      </c>
      <c r="D481" s="506">
        <f t="shared" si="24"/>
        <v>39928687.055555627</v>
      </c>
      <c r="E481" s="549">
        <f t="shared" si="29"/>
        <v>2753702.5555555555</v>
      </c>
      <c r="F481" s="506">
        <f t="shared" si="25"/>
        <v>37174984.500000075</v>
      </c>
      <c r="G481" s="554">
        <f t="shared" si="26"/>
        <v>7006995.542164078</v>
      </c>
      <c r="H481" s="555">
        <f t="shared" si="27"/>
        <v>7006995.542164078</v>
      </c>
      <c r="I481" s="552">
        <f t="shared" si="28"/>
        <v>0</v>
      </c>
      <c r="J481" s="552"/>
      <c r="K481" s="572"/>
      <c r="L481" s="556"/>
      <c r="M481" s="572"/>
      <c r="N481" s="556"/>
      <c r="O481" s="556"/>
    </row>
    <row r="482" spans="3:15">
      <c r="C482" s="548">
        <f>IF(D453="","-",+C481+1)</f>
        <v>2039</v>
      </c>
      <c r="D482" s="506">
        <f t="shared" si="24"/>
        <v>37174984.500000075</v>
      </c>
      <c r="E482" s="549">
        <f t="shared" si="29"/>
        <v>2753702.5555555555</v>
      </c>
      <c r="F482" s="506">
        <f t="shared" si="25"/>
        <v>34421281.944444522</v>
      </c>
      <c r="G482" s="554">
        <f t="shared" si="26"/>
        <v>6703188.9002634706</v>
      </c>
      <c r="H482" s="555">
        <f t="shared" si="27"/>
        <v>6703188.9002634706</v>
      </c>
      <c r="I482" s="552">
        <f t="shared" si="28"/>
        <v>0</v>
      </c>
      <c r="J482" s="552"/>
      <c r="K482" s="572"/>
      <c r="L482" s="556"/>
      <c r="M482" s="572"/>
      <c r="N482" s="556"/>
      <c r="O482" s="556"/>
    </row>
    <row r="483" spans="3:15">
      <c r="C483" s="548">
        <f>IF(D453="","-",+C482+1)</f>
        <v>2040</v>
      </c>
      <c r="D483" s="506">
        <f t="shared" si="24"/>
        <v>34421281.944444522</v>
      </c>
      <c r="E483" s="549">
        <f t="shared" si="29"/>
        <v>2753702.5555555555</v>
      </c>
      <c r="F483" s="506">
        <f t="shared" si="25"/>
        <v>31667579.388888966</v>
      </c>
      <c r="G483" s="554">
        <f t="shared" si="26"/>
        <v>6399382.2583628632</v>
      </c>
      <c r="H483" s="555">
        <f t="shared" si="27"/>
        <v>6399382.2583628632</v>
      </c>
      <c r="I483" s="552">
        <f t="shared" si="28"/>
        <v>0</v>
      </c>
      <c r="J483" s="552"/>
      <c r="K483" s="572"/>
      <c r="L483" s="556"/>
      <c r="M483" s="572"/>
      <c r="N483" s="556"/>
      <c r="O483" s="556"/>
    </row>
    <row r="484" spans="3:15">
      <c r="C484" s="548">
        <f>IF(D453="","-",+C483+1)</f>
        <v>2041</v>
      </c>
      <c r="D484" s="506">
        <f t="shared" si="24"/>
        <v>31667579.388888966</v>
      </c>
      <c r="E484" s="549">
        <f t="shared" si="29"/>
        <v>2753702.5555555555</v>
      </c>
      <c r="F484" s="506">
        <f t="shared" si="25"/>
        <v>28913876.83333341</v>
      </c>
      <c r="G484" s="554">
        <f t="shared" si="26"/>
        <v>6095575.616462254</v>
      </c>
      <c r="H484" s="555">
        <f t="shared" si="27"/>
        <v>6095575.616462254</v>
      </c>
      <c r="I484" s="552">
        <f t="shared" si="28"/>
        <v>0</v>
      </c>
      <c r="J484" s="552"/>
      <c r="K484" s="572"/>
      <c r="L484" s="556"/>
      <c r="M484" s="572"/>
      <c r="N484" s="556"/>
      <c r="O484" s="556"/>
    </row>
    <row r="485" spans="3:15">
      <c r="C485" s="548">
        <f>IF(D453="","-",+C484+1)</f>
        <v>2042</v>
      </c>
      <c r="D485" s="506">
        <f t="shared" si="24"/>
        <v>28913876.83333341</v>
      </c>
      <c r="E485" s="549">
        <f t="shared" si="29"/>
        <v>2753702.5555555555</v>
      </c>
      <c r="F485" s="506">
        <f t="shared" si="25"/>
        <v>26160174.277777854</v>
      </c>
      <c r="G485" s="554">
        <f t="shared" si="26"/>
        <v>5791768.9745616466</v>
      </c>
      <c r="H485" s="555">
        <f t="shared" si="27"/>
        <v>5791768.9745616466</v>
      </c>
      <c r="I485" s="552">
        <f t="shared" si="28"/>
        <v>0</v>
      </c>
      <c r="J485" s="552"/>
      <c r="K485" s="572"/>
      <c r="L485" s="556"/>
      <c r="M485" s="572"/>
      <c r="N485" s="556"/>
      <c r="O485" s="556"/>
    </row>
    <row r="486" spans="3:15">
      <c r="C486" s="548">
        <f>IF(D453="","-",+C485+1)</f>
        <v>2043</v>
      </c>
      <c r="D486" s="506">
        <f t="shared" si="24"/>
        <v>26160174.277777854</v>
      </c>
      <c r="E486" s="549">
        <f t="shared" si="29"/>
        <v>2753702.5555555555</v>
      </c>
      <c r="F486" s="506">
        <f t="shared" si="25"/>
        <v>23406471.722222298</v>
      </c>
      <c r="G486" s="554">
        <f t="shared" si="26"/>
        <v>5487962.3326610383</v>
      </c>
      <c r="H486" s="555">
        <f t="shared" si="27"/>
        <v>5487962.3326610383</v>
      </c>
      <c r="I486" s="552">
        <f t="shared" si="28"/>
        <v>0</v>
      </c>
      <c r="J486" s="552"/>
      <c r="K486" s="572"/>
      <c r="L486" s="556"/>
      <c r="M486" s="572"/>
      <c r="N486" s="556"/>
      <c r="O486" s="556"/>
    </row>
    <row r="487" spans="3:15">
      <c r="C487" s="548">
        <f>IF(D453="","-",+C486+1)</f>
        <v>2044</v>
      </c>
      <c r="D487" s="506">
        <f t="shared" si="24"/>
        <v>23406471.722222298</v>
      </c>
      <c r="E487" s="549">
        <f t="shared" si="29"/>
        <v>2753702.5555555555</v>
      </c>
      <c r="F487" s="506">
        <f t="shared" si="25"/>
        <v>20652769.166666742</v>
      </c>
      <c r="G487" s="550">
        <f t="shared" si="26"/>
        <v>5184155.6907604299</v>
      </c>
      <c r="H487" s="555">
        <f t="shared" si="27"/>
        <v>5184155.6907604299</v>
      </c>
      <c r="I487" s="552">
        <f t="shared" si="28"/>
        <v>0</v>
      </c>
      <c r="J487" s="552"/>
      <c r="K487" s="572"/>
      <c r="L487" s="556"/>
      <c r="M487" s="572"/>
      <c r="N487" s="556"/>
      <c r="O487" s="556"/>
    </row>
    <row r="488" spans="3:15">
      <c r="C488" s="548">
        <f>IF(D453="","-",+C487+1)</f>
        <v>2045</v>
      </c>
      <c r="D488" s="506">
        <f t="shared" si="24"/>
        <v>20652769.166666742</v>
      </c>
      <c r="E488" s="549">
        <f t="shared" si="29"/>
        <v>2753702.5555555555</v>
      </c>
      <c r="F488" s="506">
        <f t="shared" si="25"/>
        <v>17899066.611111186</v>
      </c>
      <c r="G488" s="554">
        <f t="shared" si="26"/>
        <v>4880349.0488598216</v>
      </c>
      <c r="H488" s="555">
        <f t="shared" si="27"/>
        <v>4880349.0488598216</v>
      </c>
      <c r="I488" s="552">
        <f t="shared" si="28"/>
        <v>0</v>
      </c>
      <c r="J488" s="552"/>
      <c r="K488" s="572"/>
      <c r="L488" s="556"/>
      <c r="M488" s="572"/>
      <c r="N488" s="556"/>
      <c r="O488" s="556"/>
    </row>
    <row r="489" spans="3:15">
      <c r="C489" s="548">
        <f>IF(D453="","-",+C488+1)</f>
        <v>2046</v>
      </c>
      <c r="D489" s="506">
        <f t="shared" si="24"/>
        <v>17899066.611111186</v>
      </c>
      <c r="E489" s="549">
        <f t="shared" si="29"/>
        <v>2753702.5555555555</v>
      </c>
      <c r="F489" s="506">
        <f t="shared" si="25"/>
        <v>15145364.05555563</v>
      </c>
      <c r="G489" s="554">
        <f t="shared" si="26"/>
        <v>4576542.4069592133</v>
      </c>
      <c r="H489" s="555">
        <f t="shared" si="27"/>
        <v>4576542.4069592133</v>
      </c>
      <c r="I489" s="552">
        <f t="shared" si="28"/>
        <v>0</v>
      </c>
      <c r="J489" s="552"/>
      <c r="K489" s="572"/>
      <c r="L489" s="556"/>
      <c r="M489" s="572"/>
      <c r="N489" s="556"/>
      <c r="O489" s="556"/>
    </row>
    <row r="490" spans="3:15">
      <c r="C490" s="548">
        <f>IF(D453="","-",+C489+1)</f>
        <v>2047</v>
      </c>
      <c r="D490" s="506">
        <f t="shared" si="24"/>
        <v>15145364.05555563</v>
      </c>
      <c r="E490" s="549">
        <f t="shared" si="29"/>
        <v>2753702.5555555555</v>
      </c>
      <c r="F490" s="506">
        <f t="shared" si="25"/>
        <v>12391661.500000075</v>
      </c>
      <c r="G490" s="554">
        <f t="shared" si="26"/>
        <v>4272735.765058605</v>
      </c>
      <c r="H490" s="555">
        <f t="shared" si="27"/>
        <v>4272735.765058605</v>
      </c>
      <c r="I490" s="552">
        <f t="shared" si="28"/>
        <v>0</v>
      </c>
      <c r="J490" s="552"/>
      <c r="K490" s="572"/>
      <c r="L490" s="556"/>
      <c r="M490" s="572"/>
      <c r="N490" s="556"/>
      <c r="O490" s="556"/>
    </row>
    <row r="491" spans="3:15">
      <c r="C491" s="548">
        <f>IF(D453="","-",+C490+1)</f>
        <v>2048</v>
      </c>
      <c r="D491" s="506">
        <f t="shared" si="24"/>
        <v>12391661.500000075</v>
      </c>
      <c r="E491" s="549">
        <f t="shared" si="29"/>
        <v>2753702.5555555555</v>
      </c>
      <c r="F491" s="506">
        <f t="shared" si="25"/>
        <v>9637958.9444445185</v>
      </c>
      <c r="G491" s="554">
        <f t="shared" si="26"/>
        <v>3968929.1231579967</v>
      </c>
      <c r="H491" s="555">
        <f t="shared" si="27"/>
        <v>3968929.1231579967</v>
      </c>
      <c r="I491" s="552">
        <f t="shared" si="28"/>
        <v>0</v>
      </c>
      <c r="J491" s="552"/>
      <c r="K491" s="572"/>
      <c r="L491" s="556"/>
      <c r="M491" s="572"/>
      <c r="N491" s="556"/>
      <c r="O491" s="556"/>
    </row>
    <row r="492" spans="3:15">
      <c r="C492" s="548">
        <f>IF(D453="","-",+C491+1)</f>
        <v>2049</v>
      </c>
      <c r="D492" s="506">
        <f t="shared" si="24"/>
        <v>9637958.9444445185</v>
      </c>
      <c r="E492" s="549">
        <f t="shared" si="29"/>
        <v>2753702.5555555555</v>
      </c>
      <c r="F492" s="506">
        <f t="shared" si="25"/>
        <v>6884256.3888889626</v>
      </c>
      <c r="G492" s="554">
        <f t="shared" si="26"/>
        <v>3665122.4812573884</v>
      </c>
      <c r="H492" s="555">
        <f t="shared" si="27"/>
        <v>3665122.4812573884</v>
      </c>
      <c r="I492" s="552">
        <f t="shared" si="28"/>
        <v>0</v>
      </c>
      <c r="J492" s="552"/>
      <c r="K492" s="572"/>
      <c r="L492" s="556"/>
      <c r="M492" s="572"/>
      <c r="N492" s="556"/>
      <c r="O492" s="556"/>
    </row>
    <row r="493" spans="3:15">
      <c r="C493" s="548">
        <f>IF(D453="","-",+C492+1)</f>
        <v>2050</v>
      </c>
      <c r="D493" s="506">
        <f t="shared" si="24"/>
        <v>6884256.3888889626</v>
      </c>
      <c r="E493" s="549">
        <f t="shared" si="29"/>
        <v>2753702.5555555555</v>
      </c>
      <c r="F493" s="506">
        <f t="shared" si="25"/>
        <v>4130553.8333334071</v>
      </c>
      <c r="G493" s="554">
        <f t="shared" si="26"/>
        <v>3361315.8393567801</v>
      </c>
      <c r="H493" s="555">
        <f t="shared" si="27"/>
        <v>3361315.8393567801</v>
      </c>
      <c r="I493" s="552">
        <f t="shared" si="28"/>
        <v>0</v>
      </c>
      <c r="J493" s="552"/>
      <c r="K493" s="572"/>
      <c r="L493" s="556"/>
      <c r="M493" s="572"/>
      <c r="N493" s="556"/>
      <c r="O493" s="556"/>
    </row>
    <row r="494" spans="3:15">
      <c r="C494" s="548">
        <f>IF(D453="","-",+C493+1)</f>
        <v>2051</v>
      </c>
      <c r="D494" s="506">
        <f t="shared" si="24"/>
        <v>4130553.8333334071</v>
      </c>
      <c r="E494" s="549">
        <f t="shared" si="29"/>
        <v>2753702.5555555555</v>
      </c>
      <c r="F494" s="506">
        <f t="shared" si="25"/>
        <v>1376851.2777778516</v>
      </c>
      <c r="G494" s="554">
        <f t="shared" si="26"/>
        <v>3057509.1974561717</v>
      </c>
      <c r="H494" s="555">
        <f t="shared" si="27"/>
        <v>3057509.1974561717</v>
      </c>
      <c r="I494" s="552">
        <f t="shared" si="28"/>
        <v>0</v>
      </c>
      <c r="J494" s="552"/>
      <c r="K494" s="572"/>
      <c r="L494" s="556"/>
      <c r="M494" s="572"/>
      <c r="N494" s="556"/>
      <c r="O494" s="556"/>
    </row>
    <row r="495" spans="3:15">
      <c r="C495" s="548">
        <f>IF(D453="","-",+C494+1)</f>
        <v>2052</v>
      </c>
      <c r="D495" s="506">
        <f t="shared" si="24"/>
        <v>1376851.2777778516</v>
      </c>
      <c r="E495" s="549">
        <f t="shared" si="29"/>
        <v>1376851.2777778516</v>
      </c>
      <c r="F495" s="506">
        <f t="shared" si="25"/>
        <v>0</v>
      </c>
      <c r="G495" s="554">
        <f t="shared" si="26"/>
        <v>1452802.9382530076</v>
      </c>
      <c r="H495" s="555">
        <f t="shared" si="27"/>
        <v>1452802.9382530076</v>
      </c>
      <c r="I495" s="552">
        <f t="shared" si="28"/>
        <v>0</v>
      </c>
      <c r="J495" s="552"/>
      <c r="K495" s="572"/>
      <c r="L495" s="556"/>
      <c r="M495" s="572"/>
      <c r="N495" s="556"/>
      <c r="O495" s="556"/>
    </row>
    <row r="496" spans="3:15">
      <c r="C496" s="548">
        <f>IF(D453="","-",+C495+1)</f>
        <v>2053</v>
      </c>
      <c r="D496" s="506">
        <f t="shared" si="24"/>
        <v>0</v>
      </c>
      <c r="E496" s="549">
        <f t="shared" si="29"/>
        <v>0</v>
      </c>
      <c r="F496" s="506">
        <f t="shared" si="25"/>
        <v>0</v>
      </c>
      <c r="G496" s="554">
        <f t="shared" si="26"/>
        <v>0</v>
      </c>
      <c r="H496" s="555">
        <f t="shared" si="27"/>
        <v>0</v>
      </c>
      <c r="I496" s="552">
        <f t="shared" si="28"/>
        <v>0</v>
      </c>
      <c r="J496" s="552"/>
      <c r="K496" s="572"/>
      <c r="L496" s="556"/>
      <c r="M496" s="572"/>
      <c r="N496" s="556"/>
      <c r="O496" s="556"/>
    </row>
    <row r="497" spans="3:15">
      <c r="C497" s="548">
        <f>IF(D453="","-",+C496+1)</f>
        <v>2054</v>
      </c>
      <c r="D497" s="506">
        <f t="shared" si="24"/>
        <v>0</v>
      </c>
      <c r="E497" s="549">
        <f t="shared" si="29"/>
        <v>0</v>
      </c>
      <c r="F497" s="506">
        <f t="shared" si="25"/>
        <v>0</v>
      </c>
      <c r="G497" s="554">
        <f t="shared" si="26"/>
        <v>0</v>
      </c>
      <c r="H497" s="555">
        <f t="shared" si="27"/>
        <v>0</v>
      </c>
      <c r="I497" s="552">
        <f t="shared" si="28"/>
        <v>0</v>
      </c>
      <c r="J497" s="552"/>
      <c r="K497" s="572"/>
      <c r="L497" s="556"/>
      <c r="M497" s="572"/>
      <c r="N497" s="556"/>
      <c r="O497" s="556"/>
    </row>
    <row r="498" spans="3:15">
      <c r="C498" s="548">
        <f>IF(D453="","-",+C497+1)</f>
        <v>2055</v>
      </c>
      <c r="D498" s="506">
        <f t="shared" si="24"/>
        <v>0</v>
      </c>
      <c r="E498" s="549">
        <f t="shared" si="29"/>
        <v>0</v>
      </c>
      <c r="F498" s="506">
        <f t="shared" si="25"/>
        <v>0</v>
      </c>
      <c r="G498" s="554">
        <f t="shared" si="26"/>
        <v>0</v>
      </c>
      <c r="H498" s="555">
        <f t="shared" si="27"/>
        <v>0</v>
      </c>
      <c r="I498" s="552">
        <f t="shared" si="28"/>
        <v>0</v>
      </c>
      <c r="J498" s="552"/>
      <c r="K498" s="572"/>
      <c r="L498" s="556"/>
      <c r="M498" s="572"/>
      <c r="N498" s="556"/>
      <c r="O498" s="556"/>
    </row>
    <row r="499" spans="3:15">
      <c r="C499" s="548">
        <f>IF(D453="","-",+C498+1)</f>
        <v>2056</v>
      </c>
      <c r="D499" s="506">
        <f t="shared" si="24"/>
        <v>0</v>
      </c>
      <c r="E499" s="549">
        <f t="shared" si="29"/>
        <v>0</v>
      </c>
      <c r="F499" s="506">
        <f t="shared" si="25"/>
        <v>0</v>
      </c>
      <c r="G499" s="554">
        <f t="shared" si="26"/>
        <v>0</v>
      </c>
      <c r="H499" s="555">
        <f t="shared" si="27"/>
        <v>0</v>
      </c>
      <c r="I499" s="552">
        <f t="shared" si="28"/>
        <v>0</v>
      </c>
      <c r="J499" s="552"/>
      <c r="K499" s="572"/>
      <c r="L499" s="556"/>
      <c r="M499" s="572"/>
      <c r="N499" s="556"/>
      <c r="O499" s="556"/>
    </row>
    <row r="500" spans="3:15">
      <c r="C500" s="548">
        <f>IF(D453="","-",+C499+1)</f>
        <v>2057</v>
      </c>
      <c r="D500" s="506">
        <f t="shared" si="24"/>
        <v>0</v>
      </c>
      <c r="E500" s="549">
        <f t="shared" si="29"/>
        <v>0</v>
      </c>
      <c r="F500" s="506">
        <f t="shared" si="25"/>
        <v>0</v>
      </c>
      <c r="G500" s="554">
        <f t="shared" si="26"/>
        <v>0</v>
      </c>
      <c r="H500" s="555">
        <f t="shared" si="27"/>
        <v>0</v>
      </c>
      <c r="I500" s="552">
        <f t="shared" si="28"/>
        <v>0</v>
      </c>
      <c r="J500" s="552"/>
      <c r="K500" s="572"/>
      <c r="L500" s="556"/>
      <c r="M500" s="572"/>
      <c r="N500" s="556"/>
      <c r="O500" s="556"/>
    </row>
    <row r="501" spans="3:15">
      <c r="C501" s="548">
        <f>IF(D453="","-",+C500+1)</f>
        <v>2058</v>
      </c>
      <c r="D501" s="506">
        <f t="shared" si="24"/>
        <v>0</v>
      </c>
      <c r="E501" s="549">
        <f t="shared" si="29"/>
        <v>0</v>
      </c>
      <c r="F501" s="506">
        <f t="shared" si="25"/>
        <v>0</v>
      </c>
      <c r="G501" s="554">
        <f t="shared" si="26"/>
        <v>0</v>
      </c>
      <c r="H501" s="555">
        <f t="shared" si="27"/>
        <v>0</v>
      </c>
      <c r="I501" s="552">
        <f t="shared" si="28"/>
        <v>0</v>
      </c>
      <c r="J501" s="552"/>
      <c r="K501" s="572"/>
      <c r="L501" s="556"/>
      <c r="M501" s="572"/>
      <c r="N501" s="556"/>
      <c r="O501" s="556"/>
    </row>
    <row r="502" spans="3:15">
      <c r="C502" s="548">
        <f>IF(D453="","-",+C501+1)</f>
        <v>2059</v>
      </c>
      <c r="D502" s="506">
        <f t="shared" si="24"/>
        <v>0</v>
      </c>
      <c r="E502" s="549">
        <f t="shared" si="29"/>
        <v>0</v>
      </c>
      <c r="F502" s="506">
        <f t="shared" si="25"/>
        <v>0</v>
      </c>
      <c r="G502" s="554">
        <f t="shared" si="26"/>
        <v>0</v>
      </c>
      <c r="H502" s="555">
        <f t="shared" si="27"/>
        <v>0</v>
      </c>
      <c r="I502" s="552">
        <f t="shared" si="28"/>
        <v>0</v>
      </c>
      <c r="J502" s="552"/>
      <c r="K502" s="572"/>
      <c r="L502" s="556"/>
      <c r="M502" s="572"/>
      <c r="N502" s="556"/>
      <c r="O502" s="556"/>
    </row>
    <row r="503" spans="3:15">
      <c r="C503" s="548">
        <f>IF(D453="","-",+C502+1)</f>
        <v>2060</v>
      </c>
      <c r="D503" s="506">
        <f t="shared" si="24"/>
        <v>0</v>
      </c>
      <c r="E503" s="549">
        <f t="shared" si="29"/>
        <v>0</v>
      </c>
      <c r="F503" s="506">
        <f t="shared" si="25"/>
        <v>0</v>
      </c>
      <c r="G503" s="554">
        <f t="shared" si="26"/>
        <v>0</v>
      </c>
      <c r="H503" s="555">
        <f t="shared" si="27"/>
        <v>0</v>
      </c>
      <c r="I503" s="552">
        <f t="shared" si="28"/>
        <v>0</v>
      </c>
      <c r="J503" s="552"/>
      <c r="K503" s="572"/>
      <c r="L503" s="556"/>
      <c r="M503" s="572"/>
      <c r="N503" s="556"/>
      <c r="O503" s="556"/>
    </row>
    <row r="504" spans="3:15">
      <c r="C504" s="548">
        <f>IF(D453="","-",+C503+1)</f>
        <v>2061</v>
      </c>
      <c r="D504" s="506">
        <f t="shared" si="24"/>
        <v>0</v>
      </c>
      <c r="E504" s="549">
        <f t="shared" si="29"/>
        <v>0</v>
      </c>
      <c r="F504" s="506">
        <f t="shared" si="25"/>
        <v>0</v>
      </c>
      <c r="G504" s="554">
        <f t="shared" si="26"/>
        <v>0</v>
      </c>
      <c r="H504" s="555">
        <f t="shared" si="27"/>
        <v>0</v>
      </c>
      <c r="I504" s="552">
        <f t="shared" si="28"/>
        <v>0</v>
      </c>
      <c r="J504" s="552"/>
      <c r="K504" s="572"/>
      <c r="L504" s="556"/>
      <c r="M504" s="572"/>
      <c r="N504" s="556"/>
      <c r="O504" s="556"/>
    </row>
    <row r="505" spans="3:15">
      <c r="C505" s="548">
        <f>IF(D453="","-",+C504+1)</f>
        <v>2062</v>
      </c>
      <c r="D505" s="506">
        <f t="shared" si="24"/>
        <v>0</v>
      </c>
      <c r="E505" s="549">
        <f t="shared" si="29"/>
        <v>0</v>
      </c>
      <c r="F505" s="506">
        <f t="shared" si="25"/>
        <v>0</v>
      </c>
      <c r="G505" s="554">
        <f t="shared" si="26"/>
        <v>0</v>
      </c>
      <c r="H505" s="555">
        <f t="shared" si="27"/>
        <v>0</v>
      </c>
      <c r="I505" s="552">
        <f t="shared" si="28"/>
        <v>0</v>
      </c>
      <c r="J505" s="552"/>
      <c r="K505" s="572"/>
      <c r="L505" s="556"/>
      <c r="M505" s="572"/>
      <c r="N505" s="556"/>
      <c r="O505" s="556"/>
    </row>
    <row r="506" spans="3:15">
      <c r="C506" s="548">
        <f>IF(D453="","-",+C505+1)</f>
        <v>2063</v>
      </c>
      <c r="D506" s="506">
        <f t="shared" si="24"/>
        <v>0</v>
      </c>
      <c r="E506" s="549">
        <f t="shared" si="29"/>
        <v>0</v>
      </c>
      <c r="F506" s="506">
        <f t="shared" si="25"/>
        <v>0</v>
      </c>
      <c r="G506" s="554">
        <f t="shared" si="26"/>
        <v>0</v>
      </c>
      <c r="H506" s="555">
        <f t="shared" si="27"/>
        <v>0</v>
      </c>
      <c r="I506" s="552">
        <f t="shared" si="28"/>
        <v>0</v>
      </c>
      <c r="J506" s="552"/>
      <c r="K506" s="572"/>
      <c r="L506" s="556"/>
      <c r="M506" s="572"/>
      <c r="N506" s="556"/>
      <c r="O506" s="556"/>
    </row>
    <row r="507" spans="3:15">
      <c r="C507" s="548">
        <f>IF(D453="","-",+C506+1)</f>
        <v>2064</v>
      </c>
      <c r="D507" s="506">
        <f t="shared" si="24"/>
        <v>0</v>
      </c>
      <c r="E507" s="549">
        <f t="shared" si="29"/>
        <v>0</v>
      </c>
      <c r="F507" s="506">
        <f t="shared" si="25"/>
        <v>0</v>
      </c>
      <c r="G507" s="554">
        <f t="shared" si="26"/>
        <v>0</v>
      </c>
      <c r="H507" s="555">
        <f t="shared" si="27"/>
        <v>0</v>
      </c>
      <c r="I507" s="552">
        <f t="shared" si="28"/>
        <v>0</v>
      </c>
      <c r="J507" s="552"/>
      <c r="K507" s="572"/>
      <c r="L507" s="556"/>
      <c r="M507" s="572"/>
      <c r="N507" s="556"/>
      <c r="O507" s="556"/>
    </row>
    <row r="508" spans="3:15">
      <c r="C508" s="548">
        <f>IF(D453="","-",+C507+1)</f>
        <v>2065</v>
      </c>
      <c r="D508" s="506">
        <f t="shared" si="24"/>
        <v>0</v>
      </c>
      <c r="E508" s="549">
        <f t="shared" si="29"/>
        <v>0</v>
      </c>
      <c r="F508" s="506">
        <f t="shared" si="25"/>
        <v>0</v>
      </c>
      <c r="G508" s="554">
        <f t="shared" si="26"/>
        <v>0</v>
      </c>
      <c r="H508" s="555">
        <f t="shared" si="27"/>
        <v>0</v>
      </c>
      <c r="I508" s="552">
        <f t="shared" si="28"/>
        <v>0</v>
      </c>
      <c r="J508" s="552"/>
      <c r="K508" s="572"/>
      <c r="L508" s="556"/>
      <c r="M508" s="572"/>
      <c r="N508" s="556"/>
      <c r="O508" s="556"/>
    </row>
    <row r="509" spans="3:15">
      <c r="C509" s="548">
        <f>IF(D453="","-",+C508+1)</f>
        <v>2066</v>
      </c>
      <c r="D509" s="506">
        <f t="shared" si="24"/>
        <v>0</v>
      </c>
      <c r="E509" s="549">
        <f t="shared" si="29"/>
        <v>0</v>
      </c>
      <c r="F509" s="506">
        <f t="shared" si="25"/>
        <v>0</v>
      </c>
      <c r="G509" s="554">
        <f t="shared" si="26"/>
        <v>0</v>
      </c>
      <c r="H509" s="555">
        <f t="shared" si="27"/>
        <v>0</v>
      </c>
      <c r="I509" s="552">
        <f t="shared" si="28"/>
        <v>0</v>
      </c>
      <c r="J509" s="552"/>
      <c r="K509" s="572"/>
      <c r="L509" s="556"/>
      <c r="M509" s="572"/>
      <c r="N509" s="556"/>
      <c r="O509" s="556"/>
    </row>
    <row r="510" spans="3:15">
      <c r="C510" s="548">
        <f>IF(D453="","-",+C509+1)</f>
        <v>2067</v>
      </c>
      <c r="D510" s="506">
        <f t="shared" si="24"/>
        <v>0</v>
      </c>
      <c r="E510" s="549">
        <f t="shared" si="29"/>
        <v>0</v>
      </c>
      <c r="F510" s="506">
        <f t="shared" si="25"/>
        <v>0</v>
      </c>
      <c r="G510" s="554">
        <f t="shared" si="26"/>
        <v>0</v>
      </c>
      <c r="H510" s="555">
        <f t="shared" si="27"/>
        <v>0</v>
      </c>
      <c r="I510" s="552">
        <f t="shared" si="28"/>
        <v>0</v>
      </c>
      <c r="J510" s="552"/>
      <c r="K510" s="572"/>
      <c r="L510" s="556"/>
      <c r="M510" s="572"/>
      <c r="N510" s="556"/>
      <c r="O510" s="556"/>
    </row>
    <row r="511" spans="3:15">
      <c r="C511" s="548">
        <f>IF(D453="","-",+C510+1)</f>
        <v>2068</v>
      </c>
      <c r="D511" s="506">
        <f t="shared" si="24"/>
        <v>0</v>
      </c>
      <c r="E511" s="549">
        <f t="shared" si="29"/>
        <v>0</v>
      </c>
      <c r="F511" s="506">
        <f t="shared" si="25"/>
        <v>0</v>
      </c>
      <c r="G511" s="554">
        <f t="shared" si="26"/>
        <v>0</v>
      </c>
      <c r="H511" s="555">
        <f t="shared" si="27"/>
        <v>0</v>
      </c>
      <c r="I511" s="552">
        <f t="shared" si="28"/>
        <v>0</v>
      </c>
      <c r="J511" s="552"/>
      <c r="K511" s="572"/>
      <c r="L511" s="556"/>
      <c r="M511" s="572"/>
      <c r="N511" s="556"/>
      <c r="O511" s="556"/>
    </row>
    <row r="512" spans="3:15">
      <c r="C512" s="548">
        <f>IF(D453="","-",+C511+1)</f>
        <v>2069</v>
      </c>
      <c r="D512" s="506">
        <f t="shared" si="24"/>
        <v>0</v>
      </c>
      <c r="E512" s="549">
        <f t="shared" si="29"/>
        <v>0</v>
      </c>
      <c r="F512" s="506">
        <f t="shared" si="25"/>
        <v>0</v>
      </c>
      <c r="G512" s="554">
        <f t="shared" si="26"/>
        <v>0</v>
      </c>
      <c r="H512" s="555">
        <f t="shared" si="27"/>
        <v>0</v>
      </c>
      <c r="I512" s="552">
        <f t="shared" si="28"/>
        <v>0</v>
      </c>
      <c r="J512" s="552"/>
      <c r="K512" s="572"/>
      <c r="L512" s="556"/>
      <c r="M512" s="572"/>
      <c r="N512" s="556"/>
      <c r="O512" s="556"/>
    </row>
    <row r="513" spans="3:15">
      <c r="C513" s="548">
        <f>IF(D453="","-",+C512+1)</f>
        <v>2070</v>
      </c>
      <c r="D513" s="506">
        <f t="shared" si="24"/>
        <v>0</v>
      </c>
      <c r="E513" s="549">
        <f t="shared" si="29"/>
        <v>0</v>
      </c>
      <c r="F513" s="506">
        <f t="shared" si="25"/>
        <v>0</v>
      </c>
      <c r="G513" s="554">
        <f t="shared" si="26"/>
        <v>0</v>
      </c>
      <c r="H513" s="555">
        <f t="shared" si="27"/>
        <v>0</v>
      </c>
      <c r="I513" s="552">
        <f t="shared" si="28"/>
        <v>0</v>
      </c>
      <c r="J513" s="552"/>
      <c r="K513" s="572"/>
      <c r="L513" s="556"/>
      <c r="M513" s="572"/>
      <c r="N513" s="556"/>
      <c r="O513" s="556"/>
    </row>
    <row r="514" spans="3:15">
      <c r="C514" s="548">
        <f>IF(D453="","-",+C513+1)</f>
        <v>2071</v>
      </c>
      <c r="D514" s="506">
        <f t="shared" si="24"/>
        <v>0</v>
      </c>
      <c r="E514" s="549">
        <f t="shared" si="29"/>
        <v>0</v>
      </c>
      <c r="F514" s="506">
        <f t="shared" si="25"/>
        <v>0</v>
      </c>
      <c r="G514" s="554">
        <f t="shared" si="26"/>
        <v>0</v>
      </c>
      <c r="H514" s="555">
        <f t="shared" si="27"/>
        <v>0</v>
      </c>
      <c r="I514" s="552">
        <f t="shared" si="28"/>
        <v>0</v>
      </c>
      <c r="J514" s="552"/>
      <c r="K514" s="572"/>
      <c r="L514" s="556"/>
      <c r="M514" s="572"/>
      <c r="N514" s="556"/>
      <c r="O514" s="556"/>
    </row>
    <row r="515" spans="3:15">
      <c r="C515" s="548">
        <f>IF(D453="","-",+C514+1)</f>
        <v>2072</v>
      </c>
      <c r="D515" s="506">
        <f t="shared" si="24"/>
        <v>0</v>
      </c>
      <c r="E515" s="549">
        <f t="shared" si="29"/>
        <v>0</v>
      </c>
      <c r="F515" s="506">
        <f t="shared" si="25"/>
        <v>0</v>
      </c>
      <c r="G515" s="554">
        <f t="shared" si="26"/>
        <v>0</v>
      </c>
      <c r="H515" s="555">
        <f t="shared" si="27"/>
        <v>0</v>
      </c>
      <c r="I515" s="552">
        <f t="shared" si="28"/>
        <v>0</v>
      </c>
      <c r="J515" s="552"/>
      <c r="K515" s="572"/>
      <c r="L515" s="556"/>
      <c r="M515" s="572"/>
      <c r="N515" s="556"/>
      <c r="O515" s="556"/>
    </row>
    <row r="516" spans="3:15">
      <c r="C516" s="548">
        <f>IF(D453="","-",+C515+1)</f>
        <v>2073</v>
      </c>
      <c r="D516" s="506">
        <f t="shared" si="24"/>
        <v>0</v>
      </c>
      <c r="E516" s="549">
        <f t="shared" si="29"/>
        <v>0</v>
      </c>
      <c r="F516" s="506">
        <f t="shared" si="25"/>
        <v>0</v>
      </c>
      <c r="G516" s="554">
        <f t="shared" si="26"/>
        <v>0</v>
      </c>
      <c r="H516" s="555">
        <f t="shared" si="27"/>
        <v>0</v>
      </c>
      <c r="I516" s="552">
        <f t="shared" si="28"/>
        <v>0</v>
      </c>
      <c r="J516" s="552"/>
      <c r="K516" s="572"/>
      <c r="L516" s="556"/>
      <c r="M516" s="572"/>
      <c r="N516" s="556"/>
      <c r="O516" s="556"/>
    </row>
    <row r="517" spans="3:15">
      <c r="C517" s="548">
        <f>IF(D453="","-",+C516+1)</f>
        <v>2074</v>
      </c>
      <c r="D517" s="506">
        <f t="shared" si="24"/>
        <v>0</v>
      </c>
      <c r="E517" s="549">
        <f t="shared" si="29"/>
        <v>0</v>
      </c>
      <c r="F517" s="506">
        <f t="shared" si="25"/>
        <v>0</v>
      </c>
      <c r="G517" s="554">
        <f t="shared" si="26"/>
        <v>0</v>
      </c>
      <c r="H517" s="555">
        <f t="shared" si="27"/>
        <v>0</v>
      </c>
      <c r="I517" s="552">
        <f t="shared" si="28"/>
        <v>0</v>
      </c>
      <c r="J517" s="552"/>
      <c r="K517" s="572"/>
      <c r="L517" s="556"/>
      <c r="M517" s="572"/>
      <c r="N517" s="556"/>
      <c r="O517" s="556"/>
    </row>
    <row r="518" spans="3:15" ht="13.5" thickBot="1">
      <c r="C518" s="558">
        <f>IF(D453="","-",+C517+1)</f>
        <v>2075</v>
      </c>
      <c r="D518" s="559">
        <f t="shared" si="24"/>
        <v>0</v>
      </c>
      <c r="E518" s="560">
        <f t="shared" si="29"/>
        <v>0</v>
      </c>
      <c r="F518" s="559">
        <f t="shared" si="25"/>
        <v>0</v>
      </c>
      <c r="G518" s="561">
        <f t="shared" si="26"/>
        <v>0</v>
      </c>
      <c r="H518" s="561">
        <f t="shared" si="27"/>
        <v>0</v>
      </c>
      <c r="I518" s="562">
        <f t="shared" si="28"/>
        <v>0</v>
      </c>
      <c r="J518" s="552"/>
      <c r="K518" s="573"/>
      <c r="L518" s="563"/>
      <c r="M518" s="573"/>
      <c r="N518" s="563"/>
      <c r="O518" s="563"/>
    </row>
    <row r="519" spans="3:15">
      <c r="C519" s="506" t="s">
        <v>91</v>
      </c>
      <c r="D519" s="503"/>
      <c r="E519" s="503">
        <f>SUM(E459:E518)</f>
        <v>99133292</v>
      </c>
      <c r="F519" s="503"/>
      <c r="G519" s="503">
        <f>SUM(G459:G518)</f>
        <v>301468515.50580531</v>
      </c>
      <c r="H519" s="503">
        <f>SUM(H459:H518)</f>
        <v>301468515.50580531</v>
      </c>
      <c r="I519" s="503">
        <f>SUM(I459:I518)</f>
        <v>0</v>
      </c>
      <c r="J519" s="503"/>
      <c r="K519" s="503"/>
      <c r="L519" s="503"/>
      <c r="M519" s="503"/>
      <c r="N519" s="503"/>
      <c r="O519" s="3"/>
    </row>
    <row r="520" spans="3:15">
      <c r="D520" s="47"/>
      <c r="E520" s="3"/>
      <c r="F520" s="3"/>
      <c r="G520" s="3"/>
      <c r="H520" s="490"/>
      <c r="I520" s="490"/>
      <c r="J520" s="503"/>
      <c r="K520" s="490"/>
      <c r="L520" s="490"/>
      <c r="M520" s="490"/>
      <c r="N520" s="490"/>
      <c r="O520" s="3"/>
    </row>
    <row r="521" spans="3:15">
      <c r="C521" s="3" t="s">
        <v>13</v>
      </c>
      <c r="D521" s="47"/>
      <c r="E521" s="3"/>
      <c r="F521" s="3"/>
      <c r="G521" s="3"/>
      <c r="H521" s="490"/>
      <c r="I521" s="490"/>
      <c r="J521" s="503"/>
      <c r="K521" s="490"/>
      <c r="L521" s="490"/>
      <c r="M521" s="490"/>
      <c r="N521" s="490"/>
      <c r="O521" s="3"/>
    </row>
    <row r="522" spans="3:15">
      <c r="C522" s="3"/>
      <c r="D522" s="47"/>
      <c r="E522" s="3"/>
      <c r="F522" s="3"/>
      <c r="G522" s="3"/>
      <c r="H522" s="490"/>
      <c r="I522" s="490"/>
      <c r="J522" s="503"/>
      <c r="K522" s="490"/>
      <c r="L522" s="490"/>
      <c r="M522" s="490"/>
      <c r="N522" s="490"/>
      <c r="O522" s="3"/>
    </row>
    <row r="523" spans="3:15">
      <c r="C523" s="518" t="s">
        <v>14</v>
      </c>
      <c r="D523" s="506"/>
      <c r="E523" s="506"/>
      <c r="F523" s="506"/>
      <c r="G523" s="503"/>
      <c r="H523" s="503"/>
      <c r="I523" s="564"/>
      <c r="J523" s="564"/>
      <c r="K523" s="564"/>
      <c r="L523" s="564"/>
      <c r="M523" s="564"/>
      <c r="N523" s="564"/>
      <c r="O523" s="3"/>
    </row>
    <row r="524" spans="3:15">
      <c r="C524" s="507" t="s">
        <v>271</v>
      </c>
      <c r="D524" s="506"/>
      <c r="E524" s="506"/>
      <c r="F524" s="506"/>
      <c r="G524" s="503"/>
      <c r="H524" s="503"/>
      <c r="I524" s="564"/>
      <c r="J524" s="564"/>
      <c r="K524" s="564"/>
      <c r="L524" s="564"/>
      <c r="M524" s="564"/>
      <c r="N524" s="564"/>
      <c r="O524" s="3"/>
    </row>
    <row r="525" spans="3:15">
      <c r="C525" s="507" t="s">
        <v>92</v>
      </c>
      <c r="D525" s="506"/>
      <c r="E525" s="506"/>
      <c r="F525" s="506"/>
      <c r="G525" s="503"/>
      <c r="H525" s="503"/>
      <c r="I525" s="564"/>
      <c r="J525" s="564"/>
      <c r="K525" s="564"/>
      <c r="L525" s="564"/>
      <c r="M525" s="564"/>
      <c r="N525" s="564"/>
      <c r="O525" s="3"/>
    </row>
    <row r="526" spans="3:15">
      <c r="C526" s="507"/>
      <c r="D526" s="506"/>
      <c r="E526" s="506"/>
      <c r="F526" s="506"/>
      <c r="G526" s="503"/>
      <c r="H526" s="503"/>
      <c r="I526" s="564"/>
      <c r="J526" s="564"/>
      <c r="K526" s="564"/>
      <c r="L526" s="564"/>
      <c r="M526" s="564"/>
      <c r="N526" s="564"/>
      <c r="O526" s="3"/>
    </row>
    <row r="527" spans="3:15">
      <c r="C527" s="1209" t="s">
        <v>6</v>
      </c>
      <c r="D527" s="1209"/>
      <c r="E527" s="1209"/>
      <c r="F527" s="1209"/>
      <c r="G527" s="1209"/>
      <c r="H527" s="1209"/>
      <c r="I527" s="1209"/>
      <c r="J527" s="1209"/>
      <c r="K527" s="1209"/>
      <c r="L527" s="1209"/>
      <c r="M527" s="1209"/>
      <c r="N527" s="1209"/>
      <c r="O527" s="1209"/>
    </row>
    <row r="528" spans="3:15">
      <c r="C528" s="1209"/>
      <c r="D528" s="1209"/>
      <c r="E528" s="1209"/>
      <c r="F528" s="1209"/>
      <c r="G528" s="1209"/>
      <c r="H528" s="1209"/>
      <c r="I528" s="1209"/>
      <c r="J528" s="1209"/>
      <c r="K528" s="1209"/>
      <c r="L528" s="1209"/>
      <c r="M528" s="1209"/>
      <c r="N528" s="1209"/>
      <c r="O528" s="1209"/>
    </row>
    <row r="529" spans="1:16" ht="20.25">
      <c r="A529" s="447" t="str">
        <f>""&amp;A453&amp;" Worksheet J -  ATRR PROJECTED Calculation for PJM Projects Charged to Benefiting Zones"</f>
        <v xml:space="preserve"> Worksheet J -  ATRR PROJECTED Calculation for PJM Projects Charged to Benefiting Zones</v>
      </c>
      <c r="B529" s="3"/>
      <c r="C529" s="3"/>
      <c r="D529" s="47"/>
      <c r="E529" s="3"/>
      <c r="F529" s="489"/>
      <c r="G529" s="3"/>
      <c r="H529" s="490"/>
      <c r="K529" s="398"/>
      <c r="L529" s="398"/>
      <c r="M529" s="398"/>
      <c r="N529" s="398" t="str">
        <f>"Page "&amp;SUM(P$8:P529)&amp;" of "</f>
        <v xml:space="preserve">Page 7 of </v>
      </c>
      <c r="O529" s="448">
        <f>COUNT(P$8:P$56656)</f>
        <v>11</v>
      </c>
      <c r="P529">
        <v>1</v>
      </c>
    </row>
    <row r="530" spans="1:16" ht="20.25">
      <c r="A530" s="447"/>
      <c r="B530" s="3"/>
      <c r="C530" s="3"/>
      <c r="D530" s="47"/>
      <c r="E530" s="3"/>
      <c r="F530" s="489"/>
      <c r="G530" s="3"/>
      <c r="H530" s="490"/>
      <c r="K530" s="398"/>
      <c r="L530" s="398"/>
      <c r="M530" s="398"/>
      <c r="N530" s="398"/>
      <c r="O530" s="448"/>
    </row>
    <row r="531" spans="1:16" ht="18">
      <c r="B531" s="449" t="s">
        <v>472</v>
      </c>
      <c r="C531" s="122" t="s">
        <v>93</v>
      </c>
      <c r="D531" s="47"/>
      <c r="E531" s="3"/>
      <c r="F531" s="3"/>
      <c r="G531" s="3"/>
      <c r="H531" s="490"/>
      <c r="I531" s="490"/>
      <c r="J531" s="503"/>
      <c r="K531" s="490"/>
      <c r="L531" s="490"/>
      <c r="M531" s="490"/>
      <c r="N531" s="490"/>
      <c r="O531" s="3"/>
    </row>
    <row r="532" spans="1:16" ht="18.75">
      <c r="B532" s="449"/>
      <c r="C532" s="6"/>
      <c r="D532" s="47"/>
      <c r="E532" s="3"/>
      <c r="F532" s="3"/>
      <c r="G532" s="3"/>
      <c r="H532" s="490"/>
      <c r="I532" s="490"/>
      <c r="J532" s="503"/>
      <c r="K532" s="490"/>
      <c r="L532" s="490"/>
      <c r="M532" s="490"/>
      <c r="N532" s="490"/>
      <c r="O532" s="3"/>
    </row>
    <row r="533" spans="1:16" ht="18.75">
      <c r="B533" s="449"/>
      <c r="C533" s="6" t="s">
        <v>94</v>
      </c>
      <c r="D533" s="47"/>
      <c r="E533" s="3"/>
      <c r="F533" s="3"/>
      <c r="G533" s="3"/>
      <c r="H533" s="490"/>
      <c r="I533" s="490"/>
      <c r="J533" s="503"/>
      <c r="K533" s="490"/>
      <c r="L533" s="490"/>
      <c r="M533" s="490"/>
      <c r="N533" s="490"/>
      <c r="O533" s="3"/>
    </row>
    <row r="534" spans="1:16" ht="15.75" thickBot="1">
      <c r="C534" s="132"/>
      <c r="D534" s="47"/>
      <c r="E534" s="3"/>
      <c r="F534" s="3"/>
      <c r="G534" s="3"/>
      <c r="H534" s="490"/>
      <c r="I534" s="490"/>
      <c r="J534" s="503"/>
      <c r="K534" s="490"/>
      <c r="L534" s="490"/>
      <c r="M534" s="490"/>
      <c r="N534" s="490"/>
      <c r="O534" s="3"/>
    </row>
    <row r="535" spans="1:16" ht="15.75">
      <c r="C535" s="451" t="s">
        <v>95</v>
      </c>
      <c r="D535" s="47"/>
      <c r="E535" s="3"/>
      <c r="F535" s="3"/>
      <c r="G535" s="566"/>
      <c r="H535" s="3" t="s">
        <v>74</v>
      </c>
      <c r="I535" s="3"/>
      <c r="J535" s="3"/>
      <c r="K535" s="509" t="s">
        <v>99</v>
      </c>
      <c r="L535" s="510"/>
      <c r="M535" s="511"/>
      <c r="N535" s="512">
        <f>IF(I541=0,0,VLOOKUP(I541,C548:O607,5))</f>
        <v>5839705.6015664609</v>
      </c>
      <c r="O535" s="3"/>
    </row>
    <row r="536" spans="1:16" ht="15.75">
      <c r="C536" s="451"/>
      <c r="D536" s="47"/>
      <c r="E536" s="3"/>
      <c r="F536" s="3"/>
      <c r="G536" s="3"/>
      <c r="H536" s="513"/>
      <c r="I536" s="513"/>
      <c r="J536" s="514"/>
      <c r="K536" s="515" t="s">
        <v>100</v>
      </c>
      <c r="L536" s="516"/>
      <c r="M536" s="3"/>
      <c r="N536" s="517">
        <f>IF(I541=0,0,VLOOKUP(I541,C548:O607,6))</f>
        <v>5839705.6015664609</v>
      </c>
      <c r="O536" s="3"/>
    </row>
    <row r="537" spans="1:16" ht="13.5" thickBot="1">
      <c r="C537" s="518" t="s">
        <v>96</v>
      </c>
      <c r="D537" s="1210" t="s">
        <v>820</v>
      </c>
      <c r="E537" s="1210"/>
      <c r="F537" s="1210"/>
      <c r="G537" s="1210"/>
      <c r="H537" s="1210"/>
      <c r="I537" s="1210"/>
      <c r="J537" s="503"/>
      <c r="K537" s="519" t="s">
        <v>238</v>
      </c>
      <c r="L537" s="520"/>
      <c r="M537" s="520"/>
      <c r="N537" s="521">
        <f>+N536-N535</f>
        <v>0</v>
      </c>
      <c r="O537" s="3"/>
    </row>
    <row r="538" spans="1:16">
      <c r="C538" s="522"/>
      <c r="D538" s="1210"/>
      <c r="E538" s="1210"/>
      <c r="F538" s="1210"/>
      <c r="G538" s="1210"/>
      <c r="H538" s="1210"/>
      <c r="I538" s="1210"/>
      <c r="J538" s="503"/>
      <c r="K538" s="490"/>
      <c r="L538" s="490"/>
      <c r="M538" s="490"/>
      <c r="N538" s="490"/>
      <c r="O538" s="3"/>
    </row>
    <row r="539" spans="1:16" ht="13.5" thickBot="1">
      <c r="C539" s="522"/>
      <c r="D539" s="3"/>
      <c r="E539" s="524"/>
      <c r="F539" s="524"/>
      <c r="G539" s="524"/>
      <c r="H539" s="524"/>
      <c r="I539" s="524"/>
      <c r="J539" s="524"/>
      <c r="K539" s="524"/>
      <c r="L539" s="524"/>
      <c r="M539" s="524"/>
      <c r="N539" s="524"/>
      <c r="O539" s="3"/>
    </row>
    <row r="540" spans="1:16" ht="13.5" thickBot="1">
      <c r="C540" s="525" t="s">
        <v>97</v>
      </c>
      <c r="D540" s="526"/>
      <c r="E540" s="526"/>
      <c r="F540" s="526"/>
      <c r="G540" s="526"/>
      <c r="H540" s="526"/>
      <c r="I540" s="527"/>
      <c r="K540" s="3"/>
      <c r="L540" s="3"/>
      <c r="M540" s="3"/>
      <c r="N540" s="3"/>
      <c r="O540" s="3"/>
    </row>
    <row r="541" spans="1:16" ht="15">
      <c r="C541" s="528" t="s">
        <v>75</v>
      </c>
      <c r="D541" s="568">
        <v>52114617</v>
      </c>
      <c r="E541" s="3" t="s">
        <v>76</v>
      </c>
      <c r="G541" s="47"/>
      <c r="H541" s="47"/>
      <c r="I541" s="529">
        <f>$L$26</f>
        <v>2025</v>
      </c>
      <c r="J541" s="70"/>
      <c r="K541" s="1211" t="s">
        <v>247</v>
      </c>
      <c r="L541" s="1211"/>
      <c r="M541" s="1211"/>
      <c r="N541" s="1211"/>
      <c r="O541" s="1211"/>
    </row>
    <row r="542" spans="1:16">
      <c r="C542" s="528" t="s">
        <v>78</v>
      </c>
      <c r="D542" s="569">
        <v>2016</v>
      </c>
      <c r="E542" s="528" t="s">
        <v>79</v>
      </c>
      <c r="F542" s="47"/>
      <c r="H542"/>
      <c r="I542" s="570">
        <f>IF(G535="",0,$F$17)</f>
        <v>0</v>
      </c>
      <c r="J542" s="530"/>
      <c r="K542" s="503" t="s">
        <v>247</v>
      </c>
    </row>
    <row r="543" spans="1:16">
      <c r="C543" s="528" t="s">
        <v>80</v>
      </c>
      <c r="D543" s="568">
        <v>12</v>
      </c>
      <c r="E543" s="528" t="s">
        <v>81</v>
      </c>
      <c r="F543" s="47"/>
      <c r="H543"/>
      <c r="I543" s="531">
        <f>$G$70</f>
        <v>0.11032660055737779</v>
      </c>
      <c r="J543" s="489"/>
      <c r="K543" t="str">
        <f>"          INPUT PROJECTED ARR (WITH &amp; WITHOUT INCENTIVES) FROM EACH PRIOR YEAR"</f>
        <v xml:space="preserve">          INPUT PROJECTED ARR (WITH &amp; WITHOUT INCENTIVES) FROM EACH PRIOR YEAR</v>
      </c>
    </row>
    <row r="544" spans="1:16">
      <c r="C544" s="528" t="s">
        <v>82</v>
      </c>
      <c r="D544" s="532">
        <f>$G$79</f>
        <v>36</v>
      </c>
      <c r="E544" s="528" t="s">
        <v>83</v>
      </c>
      <c r="F544" s="47"/>
      <c r="H544"/>
      <c r="I544" s="531">
        <f>IF(G535="",I543,$G$69)</f>
        <v>0.11032660055737779</v>
      </c>
      <c r="J544" s="489"/>
      <c r="K544" t="s">
        <v>160</v>
      </c>
    </row>
    <row r="545" spans="2:15" ht="13.5" thickBot="1">
      <c r="C545" s="528" t="s">
        <v>84</v>
      </c>
      <c r="D545" s="567" t="s">
        <v>812</v>
      </c>
      <c r="E545" s="533" t="s">
        <v>85</v>
      </c>
      <c r="F545" s="534"/>
      <c r="G545" s="535"/>
      <c r="H545" s="535"/>
      <c r="I545" s="521">
        <f>IF(D541=0,0,D541/D544)</f>
        <v>1447628.25</v>
      </c>
      <c r="J545" s="503"/>
      <c r="K545" s="503" t="s">
        <v>166</v>
      </c>
      <c r="L545" s="503"/>
      <c r="M545" s="503"/>
      <c r="N545" s="503"/>
      <c r="O545" s="3"/>
    </row>
    <row r="546" spans="2:15" ht="51">
      <c r="B546" s="450"/>
      <c r="C546" s="536" t="s">
        <v>75</v>
      </c>
      <c r="D546" s="537" t="s">
        <v>86</v>
      </c>
      <c r="E546" s="538" t="s">
        <v>87</v>
      </c>
      <c r="F546" s="537" t="s">
        <v>88</v>
      </c>
      <c r="G546" s="538" t="s">
        <v>159</v>
      </c>
      <c r="H546" s="539" t="s">
        <v>159</v>
      </c>
      <c r="I546" s="536" t="s">
        <v>98</v>
      </c>
      <c r="J546" s="540"/>
      <c r="K546" s="538" t="s">
        <v>168</v>
      </c>
      <c r="L546" s="541"/>
      <c r="M546" s="538" t="s">
        <v>168</v>
      </c>
      <c r="N546" s="541"/>
      <c r="O546" s="541"/>
    </row>
    <row r="547" spans="2:15" ht="13.5" thickBot="1">
      <c r="C547" s="542" t="s">
        <v>475</v>
      </c>
      <c r="D547" s="543" t="s">
        <v>476</v>
      </c>
      <c r="E547" s="542" t="s">
        <v>369</v>
      </c>
      <c r="F547" s="543" t="s">
        <v>476</v>
      </c>
      <c r="G547" s="544" t="s">
        <v>101</v>
      </c>
      <c r="H547" s="545" t="s">
        <v>103</v>
      </c>
      <c r="I547" s="542" t="s">
        <v>15</v>
      </c>
      <c r="J547" s="546"/>
      <c r="K547" s="544" t="s">
        <v>90</v>
      </c>
      <c r="L547" s="547"/>
      <c r="M547" s="544" t="s">
        <v>103</v>
      </c>
      <c r="N547" s="547"/>
      <c r="O547" s="547"/>
    </row>
    <row r="548" spans="2:15">
      <c r="C548" s="548">
        <f>IF(D542= "","-",D542)</f>
        <v>2016</v>
      </c>
      <c r="D548" s="506">
        <f>+D541</f>
        <v>52114617</v>
      </c>
      <c r="E548" s="549">
        <f>+I545/12*(12-D543)</f>
        <v>0</v>
      </c>
      <c r="F548" s="506">
        <f>+D548-E548</f>
        <v>52114617</v>
      </c>
      <c r="G548" s="731">
        <f>+$I$96*((D548+F548)/2)+E548</f>
        <v>5749628.5329597304</v>
      </c>
      <c r="H548" s="732">
        <f>$I$97*((D548+F548)/2)+E548</f>
        <v>5749628.5329597304</v>
      </c>
      <c r="I548" s="552">
        <f>+H548-G548</f>
        <v>0</v>
      </c>
      <c r="J548" s="552"/>
      <c r="K548" s="571">
        <v>5279934</v>
      </c>
      <c r="L548" s="553"/>
      <c r="M548" s="571">
        <v>5279934</v>
      </c>
      <c r="N548" s="553"/>
      <c r="O548" s="553"/>
    </row>
    <row r="549" spans="2:15">
      <c r="C549" s="548">
        <f>IF(D542="","-",+C548+1)</f>
        <v>2017</v>
      </c>
      <c r="D549" s="506">
        <f t="shared" ref="D549:D607" si="30">F548</f>
        <v>52114617</v>
      </c>
      <c r="E549" s="549">
        <f>IF(D549&gt;$I$545,$I$545,D549)</f>
        <v>1447628.25</v>
      </c>
      <c r="F549" s="506">
        <f t="shared" ref="F549:F607" si="31">+D549-E549</f>
        <v>50666988.75</v>
      </c>
      <c r="G549" s="554">
        <f t="shared" ref="G549:G607" si="32">+$I$96*((D549+F549)/2)+E549</f>
        <v>7117400.8311130675</v>
      </c>
      <c r="H549" s="555">
        <f t="shared" ref="H549:H607" si="33">$I$97*((D549+F549)/2)+E549</f>
        <v>7117400.8311130675</v>
      </c>
      <c r="I549" s="552">
        <f t="shared" ref="I549:I607" si="34">+H549-G549</f>
        <v>0</v>
      </c>
      <c r="J549" s="552"/>
      <c r="K549" s="572">
        <v>5667478</v>
      </c>
      <c r="L549" s="556"/>
      <c r="M549" s="572">
        <v>5667478</v>
      </c>
      <c r="N549" s="556"/>
      <c r="O549" s="556"/>
    </row>
    <row r="550" spans="2:15">
      <c r="C550" s="966">
        <f>IF(D542="","-",+C549+1)</f>
        <v>2018</v>
      </c>
      <c r="D550" s="506">
        <f t="shared" si="30"/>
        <v>50666988.75</v>
      </c>
      <c r="E550" s="549">
        <f t="shared" ref="E550:E607" si="35">IF(D550&gt;$I$545,$I$545,D550)</f>
        <v>1447628.25</v>
      </c>
      <c r="F550" s="506">
        <f t="shared" si="31"/>
        <v>49219360.5</v>
      </c>
      <c r="G550" s="554">
        <f t="shared" si="32"/>
        <v>6957688.9274197416</v>
      </c>
      <c r="H550" s="555">
        <f t="shared" si="33"/>
        <v>6957688.9274197416</v>
      </c>
      <c r="I550" s="552">
        <f t="shared" si="34"/>
        <v>0</v>
      </c>
      <c r="J550" s="552"/>
      <c r="K550" s="572">
        <v>4860385</v>
      </c>
      <c r="L550" s="556"/>
      <c r="M550" s="572">
        <v>4860385</v>
      </c>
      <c r="N550" s="556"/>
      <c r="O550" s="556"/>
    </row>
    <row r="551" spans="2:15">
      <c r="C551" s="956">
        <f>IF(D542="","-",+C550+1)</f>
        <v>2019</v>
      </c>
      <c r="D551" s="506">
        <f t="shared" si="30"/>
        <v>49219360.5</v>
      </c>
      <c r="E551" s="549">
        <f t="shared" si="35"/>
        <v>1447628.25</v>
      </c>
      <c r="F551" s="506">
        <f t="shared" si="31"/>
        <v>47771732.25</v>
      </c>
      <c r="G551" s="554">
        <f t="shared" si="32"/>
        <v>6797977.0237264158</v>
      </c>
      <c r="H551" s="555">
        <f t="shared" si="33"/>
        <v>6797977.0237264158</v>
      </c>
      <c r="I551" s="552">
        <f t="shared" si="34"/>
        <v>0</v>
      </c>
      <c r="J551" s="552"/>
      <c r="K551" s="572"/>
      <c r="L551" s="556"/>
      <c r="M551" s="572"/>
      <c r="N551" s="556"/>
      <c r="O551" s="556"/>
    </row>
    <row r="552" spans="2:15">
      <c r="C552" s="548">
        <f>IF(D542="","-",+C551+1)</f>
        <v>2020</v>
      </c>
      <c r="D552" s="506">
        <f t="shared" si="30"/>
        <v>47771732.25</v>
      </c>
      <c r="E552" s="549">
        <f t="shared" si="35"/>
        <v>1447628.25</v>
      </c>
      <c r="F552" s="506">
        <f t="shared" si="31"/>
        <v>46324104</v>
      </c>
      <c r="G552" s="554">
        <f t="shared" si="32"/>
        <v>6638265.12003309</v>
      </c>
      <c r="H552" s="555">
        <f t="shared" si="33"/>
        <v>6638265.12003309</v>
      </c>
      <c r="I552" s="552">
        <f t="shared" si="34"/>
        <v>0</v>
      </c>
      <c r="J552" s="552"/>
      <c r="K552" s="572"/>
      <c r="L552" s="556"/>
      <c r="M552" s="572"/>
      <c r="N552" s="556"/>
      <c r="O552" s="556"/>
    </row>
    <row r="553" spans="2:15">
      <c r="C553" s="548">
        <f>IF(D542="","-",+C552+1)</f>
        <v>2021</v>
      </c>
      <c r="D553" s="506">
        <f t="shared" si="30"/>
        <v>46324104</v>
      </c>
      <c r="E553" s="549">
        <f t="shared" si="35"/>
        <v>1447628.25</v>
      </c>
      <c r="F553" s="506">
        <f t="shared" si="31"/>
        <v>44876475.75</v>
      </c>
      <c r="G553" s="554">
        <f t="shared" si="32"/>
        <v>6478553.2163397642</v>
      </c>
      <c r="H553" s="555">
        <f t="shared" si="33"/>
        <v>6478553.2163397642</v>
      </c>
      <c r="I553" s="552">
        <f t="shared" si="34"/>
        <v>0</v>
      </c>
      <c r="J553" s="552"/>
      <c r="K553" s="572"/>
      <c r="L553" s="556"/>
      <c r="M553" s="572"/>
      <c r="N553" s="556"/>
      <c r="O553" s="556"/>
    </row>
    <row r="554" spans="2:15">
      <c r="C554" s="548">
        <f>IF(D542="","-",+C553+1)</f>
        <v>2022</v>
      </c>
      <c r="D554" s="506">
        <f t="shared" si="30"/>
        <v>44876475.75</v>
      </c>
      <c r="E554" s="549">
        <f t="shared" si="35"/>
        <v>1447628.25</v>
      </c>
      <c r="F554" s="506">
        <f t="shared" si="31"/>
        <v>43428847.5</v>
      </c>
      <c r="G554" s="554">
        <f t="shared" si="32"/>
        <v>6318841.3126464384</v>
      </c>
      <c r="H554" s="555">
        <f t="shared" si="33"/>
        <v>6318841.3126464384</v>
      </c>
      <c r="I554" s="552">
        <f t="shared" si="34"/>
        <v>0</v>
      </c>
      <c r="J554" s="552"/>
      <c r="K554" s="572"/>
      <c r="L554" s="556"/>
      <c r="M554" s="572"/>
      <c r="N554" s="556"/>
      <c r="O554" s="556"/>
    </row>
    <row r="555" spans="2:15">
      <c r="C555" s="548">
        <f>IF(D542="","-",+C554+1)</f>
        <v>2023</v>
      </c>
      <c r="D555" s="506">
        <f t="shared" si="30"/>
        <v>43428847.5</v>
      </c>
      <c r="E555" s="549">
        <f t="shared" si="35"/>
        <v>1447628.25</v>
      </c>
      <c r="F555" s="506">
        <f t="shared" si="31"/>
        <v>41981219.25</v>
      </c>
      <c r="G555" s="554">
        <f t="shared" si="32"/>
        <v>6159129.4089531126</v>
      </c>
      <c r="H555" s="555">
        <f t="shared" si="33"/>
        <v>6159129.4089531126</v>
      </c>
      <c r="I555" s="552">
        <f t="shared" si="34"/>
        <v>0</v>
      </c>
      <c r="J555" s="552"/>
      <c r="K555" s="572"/>
      <c r="L555" s="556"/>
      <c r="M555" s="572"/>
      <c r="N555" s="556"/>
      <c r="O555" s="556"/>
    </row>
    <row r="556" spans="2:15">
      <c r="C556" s="548">
        <f>IF(D542="","-",+C555+1)</f>
        <v>2024</v>
      </c>
      <c r="D556" s="506">
        <f t="shared" si="30"/>
        <v>41981219.25</v>
      </c>
      <c r="E556" s="549">
        <f t="shared" si="35"/>
        <v>1447628.25</v>
      </c>
      <c r="F556" s="506">
        <f t="shared" si="31"/>
        <v>40533591</v>
      </c>
      <c r="G556" s="554">
        <f t="shared" si="32"/>
        <v>5999417.5052597867</v>
      </c>
      <c r="H556" s="555">
        <f t="shared" si="33"/>
        <v>5999417.5052597867</v>
      </c>
      <c r="I556" s="552">
        <f t="shared" si="34"/>
        <v>0</v>
      </c>
      <c r="J556" s="552"/>
      <c r="K556" s="572"/>
      <c r="L556" s="556"/>
      <c r="M556" s="572"/>
      <c r="N556" s="556"/>
      <c r="O556" s="556"/>
    </row>
    <row r="557" spans="2:15">
      <c r="C557" s="548">
        <f>IF(D542="","-",+C556+1)</f>
        <v>2025</v>
      </c>
      <c r="D557" s="506">
        <f t="shared" si="30"/>
        <v>40533591</v>
      </c>
      <c r="E557" s="549">
        <f t="shared" si="35"/>
        <v>1447628.25</v>
      </c>
      <c r="F557" s="506">
        <f t="shared" si="31"/>
        <v>39085962.75</v>
      </c>
      <c r="G557" s="554">
        <f t="shared" si="32"/>
        <v>5839705.6015664609</v>
      </c>
      <c r="H557" s="555">
        <f t="shared" si="33"/>
        <v>5839705.6015664609</v>
      </c>
      <c r="I557" s="552">
        <f t="shared" si="34"/>
        <v>0</v>
      </c>
      <c r="J557" s="552"/>
      <c r="K557" s="572"/>
      <c r="L557" s="556"/>
      <c r="M557" s="572"/>
      <c r="N557" s="556"/>
      <c r="O557" s="556"/>
    </row>
    <row r="558" spans="2:15">
      <c r="C558" s="548">
        <f>IF(D542="","-",+C557+1)</f>
        <v>2026</v>
      </c>
      <c r="D558" s="506">
        <f t="shared" si="30"/>
        <v>39085962.75</v>
      </c>
      <c r="E558" s="549">
        <f t="shared" si="35"/>
        <v>1447628.25</v>
      </c>
      <c r="F558" s="506">
        <f t="shared" si="31"/>
        <v>37638334.5</v>
      </c>
      <c r="G558" s="554">
        <f t="shared" si="32"/>
        <v>5679993.6978731351</v>
      </c>
      <c r="H558" s="555">
        <f t="shared" si="33"/>
        <v>5679993.6978731351</v>
      </c>
      <c r="I558" s="552">
        <f t="shared" si="34"/>
        <v>0</v>
      </c>
      <c r="J558" s="552"/>
      <c r="K558" s="572"/>
      <c r="L558" s="556"/>
      <c r="M558" s="572"/>
      <c r="N558" s="556"/>
      <c r="O558" s="556"/>
    </row>
    <row r="559" spans="2:15">
      <c r="C559" s="548">
        <f>IF(D542="","-",+C558+1)</f>
        <v>2027</v>
      </c>
      <c r="D559" s="506">
        <f t="shared" si="30"/>
        <v>37638334.5</v>
      </c>
      <c r="E559" s="549">
        <f t="shared" si="35"/>
        <v>1447628.25</v>
      </c>
      <c r="F559" s="506">
        <f t="shared" si="31"/>
        <v>36190706.25</v>
      </c>
      <c r="G559" s="554">
        <f t="shared" si="32"/>
        <v>5520281.7941798083</v>
      </c>
      <c r="H559" s="555">
        <f t="shared" si="33"/>
        <v>5520281.7941798083</v>
      </c>
      <c r="I559" s="552">
        <f t="shared" si="34"/>
        <v>0</v>
      </c>
      <c r="J559" s="552"/>
      <c r="K559" s="572"/>
      <c r="L559" s="556"/>
      <c r="M559" s="572"/>
      <c r="N559" s="556"/>
      <c r="O559" s="556"/>
    </row>
    <row r="560" spans="2:15">
      <c r="C560" s="548">
        <f>IF(D542="","-",+C559+1)</f>
        <v>2028</v>
      </c>
      <c r="D560" s="506">
        <f t="shared" si="30"/>
        <v>36190706.25</v>
      </c>
      <c r="E560" s="549">
        <f t="shared" si="35"/>
        <v>1447628.25</v>
      </c>
      <c r="F560" s="506">
        <f t="shared" si="31"/>
        <v>34743078</v>
      </c>
      <c r="G560" s="554">
        <f t="shared" si="32"/>
        <v>5360569.8904864825</v>
      </c>
      <c r="H560" s="555">
        <f t="shared" si="33"/>
        <v>5360569.8904864825</v>
      </c>
      <c r="I560" s="552">
        <f t="shared" si="34"/>
        <v>0</v>
      </c>
      <c r="J560" s="552"/>
      <c r="K560" s="572"/>
      <c r="L560" s="556"/>
      <c r="M560" s="572"/>
      <c r="N560" s="557"/>
      <c r="O560" s="556"/>
    </row>
    <row r="561" spans="3:15">
      <c r="C561" s="548">
        <f>IF(D542="","-",+C560+1)</f>
        <v>2029</v>
      </c>
      <c r="D561" s="506">
        <f t="shared" si="30"/>
        <v>34743078</v>
      </c>
      <c r="E561" s="549">
        <f t="shared" si="35"/>
        <v>1447628.25</v>
      </c>
      <c r="F561" s="506">
        <f t="shared" si="31"/>
        <v>33295449.75</v>
      </c>
      <c r="G561" s="554">
        <f t="shared" si="32"/>
        <v>5200857.9867931567</v>
      </c>
      <c r="H561" s="555">
        <f t="shared" si="33"/>
        <v>5200857.9867931567</v>
      </c>
      <c r="I561" s="552">
        <f t="shared" si="34"/>
        <v>0</v>
      </c>
      <c r="J561" s="552"/>
      <c r="K561" s="572"/>
      <c r="L561" s="556"/>
      <c r="M561" s="572"/>
      <c r="N561" s="556"/>
      <c r="O561" s="556"/>
    </row>
    <row r="562" spans="3:15">
      <c r="C562" s="548">
        <f>IF(D542="","-",+C561+1)</f>
        <v>2030</v>
      </c>
      <c r="D562" s="506">
        <f t="shared" si="30"/>
        <v>33295449.75</v>
      </c>
      <c r="E562" s="549">
        <f t="shared" si="35"/>
        <v>1447628.25</v>
      </c>
      <c r="F562" s="506">
        <f t="shared" si="31"/>
        <v>31847821.5</v>
      </c>
      <c r="G562" s="554">
        <f t="shared" si="32"/>
        <v>5041146.0830998309</v>
      </c>
      <c r="H562" s="555">
        <f t="shared" si="33"/>
        <v>5041146.0830998309</v>
      </c>
      <c r="I562" s="552">
        <f t="shared" si="34"/>
        <v>0</v>
      </c>
      <c r="J562" s="552"/>
      <c r="K562" s="572"/>
      <c r="L562" s="556"/>
      <c r="M562" s="572"/>
      <c r="N562" s="556"/>
      <c r="O562" s="556"/>
    </row>
    <row r="563" spans="3:15">
      <c r="C563" s="548">
        <f>IF(D542="","-",+C562+1)</f>
        <v>2031</v>
      </c>
      <c r="D563" s="506">
        <f t="shared" si="30"/>
        <v>31847821.5</v>
      </c>
      <c r="E563" s="549">
        <f t="shared" si="35"/>
        <v>1447628.25</v>
      </c>
      <c r="F563" s="506">
        <f t="shared" si="31"/>
        <v>30400193.25</v>
      </c>
      <c r="G563" s="554">
        <f t="shared" si="32"/>
        <v>4881434.1794065051</v>
      </c>
      <c r="H563" s="555">
        <f t="shared" si="33"/>
        <v>4881434.1794065051</v>
      </c>
      <c r="I563" s="552">
        <f t="shared" si="34"/>
        <v>0</v>
      </c>
      <c r="J563" s="552"/>
      <c r="K563" s="572"/>
      <c r="L563" s="556"/>
      <c r="M563" s="572"/>
      <c r="N563" s="556"/>
      <c r="O563" s="556"/>
    </row>
    <row r="564" spans="3:15">
      <c r="C564" s="548">
        <f>IF(D542="","-",+C563+1)</f>
        <v>2032</v>
      </c>
      <c r="D564" s="506">
        <f t="shared" si="30"/>
        <v>30400193.25</v>
      </c>
      <c r="E564" s="549">
        <f t="shared" si="35"/>
        <v>1447628.25</v>
      </c>
      <c r="F564" s="506">
        <f t="shared" si="31"/>
        <v>28952565</v>
      </c>
      <c r="G564" s="554">
        <f t="shared" si="32"/>
        <v>4721722.2757131793</v>
      </c>
      <c r="H564" s="555">
        <f t="shared" si="33"/>
        <v>4721722.2757131793</v>
      </c>
      <c r="I564" s="552">
        <f t="shared" si="34"/>
        <v>0</v>
      </c>
      <c r="J564" s="552"/>
      <c r="K564" s="572"/>
      <c r="L564" s="556"/>
      <c r="M564" s="572"/>
      <c r="N564" s="556"/>
      <c r="O564" s="556"/>
    </row>
    <row r="565" spans="3:15">
      <c r="C565" s="548">
        <f>IF(D542="","-",+C564+1)</f>
        <v>2033</v>
      </c>
      <c r="D565" s="506">
        <f t="shared" si="30"/>
        <v>28952565</v>
      </c>
      <c r="E565" s="549">
        <f t="shared" si="35"/>
        <v>1447628.25</v>
      </c>
      <c r="F565" s="506">
        <f t="shared" si="31"/>
        <v>27504936.75</v>
      </c>
      <c r="G565" s="554">
        <f t="shared" si="32"/>
        <v>4562010.3720198534</v>
      </c>
      <c r="H565" s="555">
        <f t="shared" si="33"/>
        <v>4562010.3720198534</v>
      </c>
      <c r="I565" s="552">
        <f t="shared" si="34"/>
        <v>0</v>
      </c>
      <c r="J565" s="552"/>
      <c r="K565" s="572"/>
      <c r="L565" s="556"/>
      <c r="M565" s="572"/>
      <c r="N565" s="556"/>
      <c r="O565" s="556"/>
    </row>
    <row r="566" spans="3:15">
      <c r="C566" s="548">
        <f>IF(D542="","-",+C565+1)</f>
        <v>2034</v>
      </c>
      <c r="D566" s="506">
        <f t="shared" si="30"/>
        <v>27504936.75</v>
      </c>
      <c r="E566" s="549">
        <f t="shared" si="35"/>
        <v>1447628.25</v>
      </c>
      <c r="F566" s="506">
        <f t="shared" si="31"/>
        <v>26057308.5</v>
      </c>
      <c r="G566" s="554">
        <f t="shared" si="32"/>
        <v>4402298.4683265276</v>
      </c>
      <c r="H566" s="555">
        <f t="shared" si="33"/>
        <v>4402298.4683265276</v>
      </c>
      <c r="I566" s="552">
        <f t="shared" si="34"/>
        <v>0</v>
      </c>
      <c r="J566" s="552"/>
      <c r="K566" s="572"/>
      <c r="L566" s="556"/>
      <c r="M566" s="572"/>
      <c r="N566" s="556"/>
      <c r="O566" s="556"/>
    </row>
    <row r="567" spans="3:15">
      <c r="C567" s="548">
        <f>IF(D542="","-",+C566+1)</f>
        <v>2035</v>
      </c>
      <c r="D567" s="506">
        <f t="shared" si="30"/>
        <v>26057308.5</v>
      </c>
      <c r="E567" s="549">
        <f t="shared" si="35"/>
        <v>1447628.25</v>
      </c>
      <c r="F567" s="506">
        <f t="shared" si="31"/>
        <v>24609680.25</v>
      </c>
      <c r="G567" s="554">
        <f t="shared" si="32"/>
        <v>4242586.5646332018</v>
      </c>
      <c r="H567" s="555">
        <f t="shared" si="33"/>
        <v>4242586.5646332018</v>
      </c>
      <c r="I567" s="552">
        <f t="shared" si="34"/>
        <v>0</v>
      </c>
      <c r="J567" s="552"/>
      <c r="K567" s="572"/>
      <c r="L567" s="556"/>
      <c r="M567" s="572"/>
      <c r="N567" s="556"/>
      <c r="O567" s="556"/>
    </row>
    <row r="568" spans="3:15">
      <c r="C568" s="548">
        <f>IF(D542="","-",+C567+1)</f>
        <v>2036</v>
      </c>
      <c r="D568" s="506">
        <f t="shared" si="30"/>
        <v>24609680.25</v>
      </c>
      <c r="E568" s="549">
        <f t="shared" si="35"/>
        <v>1447628.25</v>
      </c>
      <c r="F568" s="506">
        <f t="shared" si="31"/>
        <v>23162052</v>
      </c>
      <c r="G568" s="554">
        <f t="shared" si="32"/>
        <v>4082874.6609398765</v>
      </c>
      <c r="H568" s="555">
        <f t="shared" si="33"/>
        <v>4082874.6609398765</v>
      </c>
      <c r="I568" s="552">
        <f t="shared" si="34"/>
        <v>0</v>
      </c>
      <c r="J568" s="552"/>
      <c r="K568" s="572"/>
      <c r="L568" s="556"/>
      <c r="M568" s="572"/>
      <c r="N568" s="556"/>
      <c r="O568" s="556"/>
    </row>
    <row r="569" spans="3:15">
      <c r="C569" s="548">
        <f>IF(D542="","-",+C568+1)</f>
        <v>2037</v>
      </c>
      <c r="D569" s="506">
        <f t="shared" si="30"/>
        <v>23162052</v>
      </c>
      <c r="E569" s="549">
        <f t="shared" si="35"/>
        <v>1447628.25</v>
      </c>
      <c r="F569" s="506">
        <f t="shared" si="31"/>
        <v>21714423.75</v>
      </c>
      <c r="G569" s="554">
        <f t="shared" si="32"/>
        <v>3923162.7572465506</v>
      </c>
      <c r="H569" s="555">
        <f t="shared" si="33"/>
        <v>3923162.7572465506</v>
      </c>
      <c r="I569" s="552">
        <f t="shared" si="34"/>
        <v>0</v>
      </c>
      <c r="J569" s="552"/>
      <c r="K569" s="572"/>
      <c r="L569" s="556"/>
      <c r="M569" s="572"/>
      <c r="N569" s="556"/>
      <c r="O569" s="556"/>
    </row>
    <row r="570" spans="3:15">
      <c r="C570" s="548">
        <f>IF(D542="","-",+C569+1)</f>
        <v>2038</v>
      </c>
      <c r="D570" s="506">
        <f t="shared" si="30"/>
        <v>21714423.75</v>
      </c>
      <c r="E570" s="549">
        <f t="shared" si="35"/>
        <v>1447628.25</v>
      </c>
      <c r="F570" s="506">
        <f t="shared" si="31"/>
        <v>20266795.5</v>
      </c>
      <c r="G570" s="554">
        <f t="shared" si="32"/>
        <v>3763450.8535532248</v>
      </c>
      <c r="H570" s="555">
        <f t="shared" si="33"/>
        <v>3763450.8535532248</v>
      </c>
      <c r="I570" s="552">
        <f t="shared" si="34"/>
        <v>0</v>
      </c>
      <c r="J570" s="552"/>
      <c r="K570" s="572"/>
      <c r="L570" s="556"/>
      <c r="M570" s="572"/>
      <c r="N570" s="556"/>
      <c r="O570" s="556"/>
    </row>
    <row r="571" spans="3:15">
      <c r="C571" s="548">
        <f>IF(D542="","-",+C570+1)</f>
        <v>2039</v>
      </c>
      <c r="D571" s="506">
        <f t="shared" si="30"/>
        <v>20266795.5</v>
      </c>
      <c r="E571" s="549">
        <f t="shared" si="35"/>
        <v>1447628.25</v>
      </c>
      <c r="F571" s="506">
        <f t="shared" si="31"/>
        <v>18819167.25</v>
      </c>
      <c r="G571" s="554">
        <f t="shared" si="32"/>
        <v>3603738.949859899</v>
      </c>
      <c r="H571" s="555">
        <f t="shared" si="33"/>
        <v>3603738.949859899</v>
      </c>
      <c r="I571" s="552">
        <f t="shared" si="34"/>
        <v>0</v>
      </c>
      <c r="J571" s="552"/>
      <c r="K571" s="572"/>
      <c r="L571" s="556"/>
      <c r="M571" s="572"/>
      <c r="N571" s="556"/>
      <c r="O571" s="556"/>
    </row>
    <row r="572" spans="3:15">
      <c r="C572" s="548">
        <f>IF(D542="","-",+C571+1)</f>
        <v>2040</v>
      </c>
      <c r="D572" s="506">
        <f t="shared" si="30"/>
        <v>18819167.25</v>
      </c>
      <c r="E572" s="549">
        <f t="shared" si="35"/>
        <v>1447628.25</v>
      </c>
      <c r="F572" s="506">
        <f t="shared" si="31"/>
        <v>17371539</v>
      </c>
      <c r="G572" s="554">
        <f t="shared" si="32"/>
        <v>3444027.0461665727</v>
      </c>
      <c r="H572" s="555">
        <f t="shared" si="33"/>
        <v>3444027.0461665727</v>
      </c>
      <c r="I572" s="552">
        <f t="shared" si="34"/>
        <v>0</v>
      </c>
      <c r="J572" s="552"/>
      <c r="K572" s="572"/>
      <c r="L572" s="556"/>
      <c r="M572" s="572"/>
      <c r="N572" s="556"/>
      <c r="O572" s="556"/>
    </row>
    <row r="573" spans="3:15">
      <c r="C573" s="548">
        <f>IF(D542="","-",+C572+1)</f>
        <v>2041</v>
      </c>
      <c r="D573" s="506">
        <f t="shared" si="30"/>
        <v>17371539</v>
      </c>
      <c r="E573" s="549">
        <f t="shared" si="35"/>
        <v>1447628.25</v>
      </c>
      <c r="F573" s="506">
        <f t="shared" si="31"/>
        <v>15923910.75</v>
      </c>
      <c r="G573" s="554">
        <f t="shared" si="32"/>
        <v>3284315.1424732469</v>
      </c>
      <c r="H573" s="555">
        <f t="shared" si="33"/>
        <v>3284315.1424732469</v>
      </c>
      <c r="I573" s="552">
        <f t="shared" si="34"/>
        <v>0</v>
      </c>
      <c r="J573" s="552"/>
      <c r="K573" s="572"/>
      <c r="L573" s="556"/>
      <c r="M573" s="572"/>
      <c r="N573" s="556"/>
      <c r="O573" s="556"/>
    </row>
    <row r="574" spans="3:15">
      <c r="C574" s="548">
        <f>IF(D542="","-",+C573+1)</f>
        <v>2042</v>
      </c>
      <c r="D574" s="506">
        <f t="shared" si="30"/>
        <v>15923910.75</v>
      </c>
      <c r="E574" s="549">
        <f t="shared" si="35"/>
        <v>1447628.25</v>
      </c>
      <c r="F574" s="506">
        <f t="shared" si="31"/>
        <v>14476282.5</v>
      </c>
      <c r="G574" s="554">
        <f t="shared" si="32"/>
        <v>3124603.2387799211</v>
      </c>
      <c r="H574" s="555">
        <f t="shared" si="33"/>
        <v>3124603.2387799211</v>
      </c>
      <c r="I574" s="552">
        <f t="shared" si="34"/>
        <v>0</v>
      </c>
      <c r="J574" s="552"/>
      <c r="K574" s="572"/>
      <c r="L574" s="556"/>
      <c r="M574" s="572"/>
      <c r="N574" s="556"/>
      <c r="O574" s="556"/>
    </row>
    <row r="575" spans="3:15">
      <c r="C575" s="548">
        <f>IF(D542="","-",+C574+1)</f>
        <v>2043</v>
      </c>
      <c r="D575" s="506">
        <f t="shared" si="30"/>
        <v>14476282.5</v>
      </c>
      <c r="E575" s="549">
        <f t="shared" si="35"/>
        <v>1447628.25</v>
      </c>
      <c r="F575" s="506">
        <f t="shared" si="31"/>
        <v>13028654.25</v>
      </c>
      <c r="G575" s="554">
        <f t="shared" si="32"/>
        <v>2964891.3350865953</v>
      </c>
      <c r="H575" s="555">
        <f t="shared" si="33"/>
        <v>2964891.3350865953</v>
      </c>
      <c r="I575" s="552">
        <f t="shared" si="34"/>
        <v>0</v>
      </c>
      <c r="J575" s="552"/>
      <c r="K575" s="572"/>
      <c r="L575" s="556"/>
      <c r="M575" s="572"/>
      <c r="N575" s="556"/>
      <c r="O575" s="556"/>
    </row>
    <row r="576" spans="3:15">
      <c r="C576" s="548">
        <f>IF(D542="","-",+C575+1)</f>
        <v>2044</v>
      </c>
      <c r="D576" s="506">
        <f t="shared" si="30"/>
        <v>13028654.25</v>
      </c>
      <c r="E576" s="549">
        <f t="shared" si="35"/>
        <v>1447628.25</v>
      </c>
      <c r="F576" s="506">
        <f t="shared" si="31"/>
        <v>11581026</v>
      </c>
      <c r="G576" s="550">
        <f t="shared" si="32"/>
        <v>2805179.4313932694</v>
      </c>
      <c r="H576" s="555">
        <f t="shared" si="33"/>
        <v>2805179.4313932694</v>
      </c>
      <c r="I576" s="552">
        <f t="shared" si="34"/>
        <v>0</v>
      </c>
      <c r="J576" s="552"/>
      <c r="K576" s="572"/>
      <c r="L576" s="556"/>
      <c r="M576" s="572"/>
      <c r="N576" s="556"/>
      <c r="O576" s="556"/>
    </row>
    <row r="577" spans="3:15">
      <c r="C577" s="548">
        <f>IF(D542="","-",+C576+1)</f>
        <v>2045</v>
      </c>
      <c r="D577" s="506">
        <f t="shared" si="30"/>
        <v>11581026</v>
      </c>
      <c r="E577" s="549">
        <f t="shared" si="35"/>
        <v>1447628.25</v>
      </c>
      <c r="F577" s="506">
        <f t="shared" si="31"/>
        <v>10133397.75</v>
      </c>
      <c r="G577" s="554">
        <f t="shared" si="32"/>
        <v>2645467.5276999436</v>
      </c>
      <c r="H577" s="555">
        <f t="shared" si="33"/>
        <v>2645467.5276999436</v>
      </c>
      <c r="I577" s="552">
        <f t="shared" si="34"/>
        <v>0</v>
      </c>
      <c r="J577" s="552"/>
      <c r="K577" s="572"/>
      <c r="L577" s="556"/>
      <c r="M577" s="572"/>
      <c r="N577" s="556"/>
      <c r="O577" s="556"/>
    </row>
    <row r="578" spans="3:15">
      <c r="C578" s="548">
        <f>IF(D542="","-",+C577+1)</f>
        <v>2046</v>
      </c>
      <c r="D578" s="506">
        <f t="shared" si="30"/>
        <v>10133397.75</v>
      </c>
      <c r="E578" s="549">
        <f t="shared" si="35"/>
        <v>1447628.25</v>
      </c>
      <c r="F578" s="506">
        <f t="shared" si="31"/>
        <v>8685769.5</v>
      </c>
      <c r="G578" s="554">
        <f t="shared" si="32"/>
        <v>2485755.6240066178</v>
      </c>
      <c r="H578" s="555">
        <f t="shared" si="33"/>
        <v>2485755.6240066178</v>
      </c>
      <c r="I578" s="552">
        <f t="shared" si="34"/>
        <v>0</v>
      </c>
      <c r="J578" s="552"/>
      <c r="K578" s="572"/>
      <c r="L578" s="556"/>
      <c r="M578" s="572"/>
      <c r="N578" s="556"/>
      <c r="O578" s="556"/>
    </row>
    <row r="579" spans="3:15">
      <c r="C579" s="548">
        <f>IF(D542="","-",+C578+1)</f>
        <v>2047</v>
      </c>
      <c r="D579" s="506">
        <f t="shared" si="30"/>
        <v>8685769.5</v>
      </c>
      <c r="E579" s="549">
        <f t="shared" si="35"/>
        <v>1447628.25</v>
      </c>
      <c r="F579" s="506">
        <f t="shared" si="31"/>
        <v>7238141.25</v>
      </c>
      <c r="G579" s="554">
        <f t="shared" si="32"/>
        <v>2326043.720313292</v>
      </c>
      <c r="H579" s="555">
        <f t="shared" si="33"/>
        <v>2326043.720313292</v>
      </c>
      <c r="I579" s="552">
        <f t="shared" si="34"/>
        <v>0</v>
      </c>
      <c r="J579" s="552"/>
      <c r="K579" s="572"/>
      <c r="L579" s="556"/>
      <c r="M579" s="572"/>
      <c r="N579" s="556"/>
      <c r="O579" s="556"/>
    </row>
    <row r="580" spans="3:15">
      <c r="C580" s="548">
        <f>IF(D542="","-",+C579+1)</f>
        <v>2048</v>
      </c>
      <c r="D580" s="506">
        <f t="shared" si="30"/>
        <v>7238141.25</v>
      </c>
      <c r="E580" s="549">
        <f t="shared" si="35"/>
        <v>1447628.25</v>
      </c>
      <c r="F580" s="506">
        <f t="shared" si="31"/>
        <v>5790513</v>
      </c>
      <c r="G580" s="554">
        <f t="shared" si="32"/>
        <v>2166331.8166199662</v>
      </c>
      <c r="H580" s="555">
        <f t="shared" si="33"/>
        <v>2166331.8166199662</v>
      </c>
      <c r="I580" s="552">
        <f t="shared" si="34"/>
        <v>0</v>
      </c>
      <c r="J580" s="552"/>
      <c r="K580" s="572"/>
      <c r="L580" s="556"/>
      <c r="M580" s="572"/>
      <c r="N580" s="556"/>
      <c r="O580" s="556"/>
    </row>
    <row r="581" spans="3:15">
      <c r="C581" s="548">
        <f>IF(D542="","-",+C580+1)</f>
        <v>2049</v>
      </c>
      <c r="D581" s="506">
        <f t="shared" si="30"/>
        <v>5790513</v>
      </c>
      <c r="E581" s="549">
        <f t="shared" si="35"/>
        <v>1447628.25</v>
      </c>
      <c r="F581" s="506">
        <f t="shared" si="31"/>
        <v>4342884.75</v>
      </c>
      <c r="G581" s="554">
        <f t="shared" si="32"/>
        <v>2006619.9129266404</v>
      </c>
      <c r="H581" s="555">
        <f t="shared" si="33"/>
        <v>2006619.9129266404</v>
      </c>
      <c r="I581" s="552">
        <f t="shared" si="34"/>
        <v>0</v>
      </c>
      <c r="J581" s="552"/>
      <c r="K581" s="572"/>
      <c r="L581" s="556"/>
      <c r="M581" s="572"/>
      <c r="N581" s="556"/>
      <c r="O581" s="556"/>
    </row>
    <row r="582" spans="3:15">
      <c r="C582" s="548">
        <f>IF(D542="","-",+C581+1)</f>
        <v>2050</v>
      </c>
      <c r="D582" s="506">
        <f t="shared" si="30"/>
        <v>4342884.75</v>
      </c>
      <c r="E582" s="549">
        <f t="shared" si="35"/>
        <v>1447628.25</v>
      </c>
      <c r="F582" s="506">
        <f t="shared" si="31"/>
        <v>2895256.5</v>
      </c>
      <c r="G582" s="554">
        <f t="shared" si="32"/>
        <v>1846908.0092333145</v>
      </c>
      <c r="H582" s="555">
        <f t="shared" si="33"/>
        <v>1846908.0092333145</v>
      </c>
      <c r="I582" s="552">
        <f t="shared" si="34"/>
        <v>0</v>
      </c>
      <c r="J582" s="552"/>
      <c r="K582" s="572"/>
      <c r="L582" s="556"/>
      <c r="M582" s="572"/>
      <c r="N582" s="556"/>
      <c r="O582" s="556"/>
    </row>
    <row r="583" spans="3:15">
      <c r="C583" s="548">
        <f>IF(D542="","-",+C582+1)</f>
        <v>2051</v>
      </c>
      <c r="D583" s="506">
        <f t="shared" si="30"/>
        <v>2895256.5</v>
      </c>
      <c r="E583" s="549">
        <f t="shared" si="35"/>
        <v>1447628.25</v>
      </c>
      <c r="F583" s="506">
        <f t="shared" si="31"/>
        <v>1447628.25</v>
      </c>
      <c r="G583" s="554">
        <f t="shared" si="32"/>
        <v>1687196.1055399887</v>
      </c>
      <c r="H583" s="555">
        <f t="shared" si="33"/>
        <v>1687196.1055399887</v>
      </c>
      <c r="I583" s="552">
        <f t="shared" si="34"/>
        <v>0</v>
      </c>
      <c r="J583" s="552"/>
      <c r="K583" s="572"/>
      <c r="L583" s="556"/>
      <c r="M583" s="572"/>
      <c r="N583" s="556"/>
      <c r="O583" s="556"/>
    </row>
    <row r="584" spans="3:15">
      <c r="C584" s="548">
        <f>IF(D542="","-",+C583+1)</f>
        <v>2052</v>
      </c>
      <c r="D584" s="506">
        <f t="shared" si="30"/>
        <v>1447628.25</v>
      </c>
      <c r="E584" s="549">
        <f t="shared" si="35"/>
        <v>1447628.25</v>
      </c>
      <c r="F584" s="506">
        <f t="shared" si="31"/>
        <v>0</v>
      </c>
      <c r="G584" s="554">
        <f t="shared" si="32"/>
        <v>1527484.2018466629</v>
      </c>
      <c r="H584" s="555">
        <f t="shared" si="33"/>
        <v>1527484.2018466629</v>
      </c>
      <c r="I584" s="552">
        <f t="shared" si="34"/>
        <v>0</v>
      </c>
      <c r="J584" s="552"/>
      <c r="K584" s="572"/>
      <c r="L584" s="556"/>
      <c r="M584" s="572"/>
      <c r="N584" s="556"/>
      <c r="O584" s="556"/>
    </row>
    <row r="585" spans="3:15">
      <c r="C585" s="548">
        <f>IF(D542="","-",+C584+1)</f>
        <v>2053</v>
      </c>
      <c r="D585" s="506">
        <f t="shared" si="30"/>
        <v>0</v>
      </c>
      <c r="E585" s="549">
        <f t="shared" si="35"/>
        <v>0</v>
      </c>
      <c r="F585" s="506">
        <f t="shared" si="31"/>
        <v>0</v>
      </c>
      <c r="G585" s="554">
        <f t="shared" si="32"/>
        <v>0</v>
      </c>
      <c r="H585" s="555">
        <f t="shared" si="33"/>
        <v>0</v>
      </c>
      <c r="I585" s="552">
        <f t="shared" si="34"/>
        <v>0</v>
      </c>
      <c r="J585" s="552"/>
      <c r="K585" s="572"/>
      <c r="L585" s="556"/>
      <c r="M585" s="572"/>
      <c r="N585" s="556"/>
      <c r="O585" s="556"/>
    </row>
    <row r="586" spans="3:15">
      <c r="C586" s="548">
        <f>IF(D542="","-",+C585+1)</f>
        <v>2054</v>
      </c>
      <c r="D586" s="506">
        <f t="shared" si="30"/>
        <v>0</v>
      </c>
      <c r="E586" s="549">
        <f t="shared" si="35"/>
        <v>0</v>
      </c>
      <c r="F586" s="506">
        <f t="shared" si="31"/>
        <v>0</v>
      </c>
      <c r="G586" s="554">
        <f t="shared" si="32"/>
        <v>0</v>
      </c>
      <c r="H586" s="555">
        <f t="shared" si="33"/>
        <v>0</v>
      </c>
      <c r="I586" s="552">
        <f t="shared" si="34"/>
        <v>0</v>
      </c>
      <c r="J586" s="552"/>
      <c r="K586" s="572"/>
      <c r="L586" s="556"/>
      <c r="M586" s="572"/>
      <c r="N586" s="556"/>
      <c r="O586" s="556"/>
    </row>
    <row r="587" spans="3:15">
      <c r="C587" s="548">
        <f>IF(D542="","-",+C586+1)</f>
        <v>2055</v>
      </c>
      <c r="D587" s="506">
        <f t="shared" si="30"/>
        <v>0</v>
      </c>
      <c r="E587" s="549">
        <f t="shared" si="35"/>
        <v>0</v>
      </c>
      <c r="F587" s="506">
        <f t="shared" si="31"/>
        <v>0</v>
      </c>
      <c r="G587" s="554">
        <f t="shared" si="32"/>
        <v>0</v>
      </c>
      <c r="H587" s="555">
        <f t="shared" si="33"/>
        <v>0</v>
      </c>
      <c r="I587" s="552">
        <f t="shared" si="34"/>
        <v>0</v>
      </c>
      <c r="J587" s="552"/>
      <c r="K587" s="572"/>
      <c r="L587" s="556"/>
      <c r="M587" s="572"/>
      <c r="N587" s="556"/>
      <c r="O587" s="556"/>
    </row>
    <row r="588" spans="3:15">
      <c r="C588" s="548">
        <f>IF(D542="","-",+C587+1)</f>
        <v>2056</v>
      </c>
      <c r="D588" s="506">
        <f t="shared" si="30"/>
        <v>0</v>
      </c>
      <c r="E588" s="549">
        <f t="shared" si="35"/>
        <v>0</v>
      </c>
      <c r="F588" s="506">
        <f t="shared" si="31"/>
        <v>0</v>
      </c>
      <c r="G588" s="554">
        <f t="shared" si="32"/>
        <v>0</v>
      </c>
      <c r="H588" s="555">
        <f t="shared" si="33"/>
        <v>0</v>
      </c>
      <c r="I588" s="552">
        <f t="shared" si="34"/>
        <v>0</v>
      </c>
      <c r="J588" s="552"/>
      <c r="K588" s="572"/>
      <c r="L588" s="556"/>
      <c r="M588" s="572"/>
      <c r="N588" s="556"/>
      <c r="O588" s="556"/>
    </row>
    <row r="589" spans="3:15">
      <c r="C589" s="548">
        <f>IF(D542="","-",+C588+1)</f>
        <v>2057</v>
      </c>
      <c r="D589" s="506">
        <f t="shared" si="30"/>
        <v>0</v>
      </c>
      <c r="E589" s="549">
        <f t="shared" si="35"/>
        <v>0</v>
      </c>
      <c r="F589" s="506">
        <f t="shared" si="31"/>
        <v>0</v>
      </c>
      <c r="G589" s="554">
        <f t="shared" si="32"/>
        <v>0</v>
      </c>
      <c r="H589" s="555">
        <f t="shared" si="33"/>
        <v>0</v>
      </c>
      <c r="I589" s="552">
        <f t="shared" si="34"/>
        <v>0</v>
      </c>
      <c r="J589" s="552"/>
      <c r="K589" s="572"/>
      <c r="L589" s="556"/>
      <c r="M589" s="572"/>
      <c r="N589" s="556"/>
      <c r="O589" s="556"/>
    </row>
    <row r="590" spans="3:15">
      <c r="C590" s="548">
        <f>IF(D542="","-",+C589+1)</f>
        <v>2058</v>
      </c>
      <c r="D590" s="506">
        <f t="shared" si="30"/>
        <v>0</v>
      </c>
      <c r="E590" s="549">
        <f t="shared" si="35"/>
        <v>0</v>
      </c>
      <c r="F590" s="506">
        <f t="shared" si="31"/>
        <v>0</v>
      </c>
      <c r="G590" s="554">
        <f t="shared" si="32"/>
        <v>0</v>
      </c>
      <c r="H590" s="555">
        <f t="shared" si="33"/>
        <v>0</v>
      </c>
      <c r="I590" s="552">
        <f t="shared" si="34"/>
        <v>0</v>
      </c>
      <c r="J590" s="552"/>
      <c r="K590" s="572"/>
      <c r="L590" s="556"/>
      <c r="M590" s="572"/>
      <c r="N590" s="556"/>
      <c r="O590" s="556"/>
    </row>
    <row r="591" spans="3:15">
      <c r="C591" s="548">
        <f>IF(D542="","-",+C590+1)</f>
        <v>2059</v>
      </c>
      <c r="D591" s="506">
        <f t="shared" si="30"/>
        <v>0</v>
      </c>
      <c r="E591" s="549">
        <f t="shared" si="35"/>
        <v>0</v>
      </c>
      <c r="F591" s="506">
        <f t="shared" si="31"/>
        <v>0</v>
      </c>
      <c r="G591" s="554">
        <f t="shared" si="32"/>
        <v>0</v>
      </c>
      <c r="H591" s="555">
        <f t="shared" si="33"/>
        <v>0</v>
      </c>
      <c r="I591" s="552">
        <f t="shared" si="34"/>
        <v>0</v>
      </c>
      <c r="J591" s="552"/>
      <c r="K591" s="572"/>
      <c r="L591" s="556"/>
      <c r="M591" s="572"/>
      <c r="N591" s="556"/>
      <c r="O591" s="556"/>
    </row>
    <row r="592" spans="3:15">
      <c r="C592" s="548">
        <f>IF(D542="","-",+C591+1)</f>
        <v>2060</v>
      </c>
      <c r="D592" s="506">
        <f t="shared" si="30"/>
        <v>0</v>
      </c>
      <c r="E592" s="549">
        <f t="shared" si="35"/>
        <v>0</v>
      </c>
      <c r="F592" s="506">
        <f t="shared" si="31"/>
        <v>0</v>
      </c>
      <c r="G592" s="554">
        <f t="shared" si="32"/>
        <v>0</v>
      </c>
      <c r="H592" s="555">
        <f t="shared" si="33"/>
        <v>0</v>
      </c>
      <c r="I592" s="552">
        <f t="shared" si="34"/>
        <v>0</v>
      </c>
      <c r="J592" s="552"/>
      <c r="K592" s="572"/>
      <c r="L592" s="556"/>
      <c r="M592" s="572"/>
      <c r="N592" s="556"/>
      <c r="O592" s="556"/>
    </row>
    <row r="593" spans="3:15">
      <c r="C593" s="548">
        <f>IF(D542="","-",+C592+1)</f>
        <v>2061</v>
      </c>
      <c r="D593" s="506">
        <f t="shared" si="30"/>
        <v>0</v>
      </c>
      <c r="E593" s="549">
        <f t="shared" si="35"/>
        <v>0</v>
      </c>
      <c r="F593" s="506">
        <f t="shared" si="31"/>
        <v>0</v>
      </c>
      <c r="G593" s="554">
        <f t="shared" si="32"/>
        <v>0</v>
      </c>
      <c r="H593" s="555">
        <f t="shared" si="33"/>
        <v>0</v>
      </c>
      <c r="I593" s="552">
        <f t="shared" si="34"/>
        <v>0</v>
      </c>
      <c r="J593" s="552"/>
      <c r="K593" s="572"/>
      <c r="L593" s="556"/>
      <c r="M593" s="572"/>
      <c r="N593" s="556"/>
      <c r="O593" s="556"/>
    </row>
    <row r="594" spans="3:15">
      <c r="C594" s="548">
        <f>IF(D542="","-",+C593+1)</f>
        <v>2062</v>
      </c>
      <c r="D594" s="506">
        <f t="shared" si="30"/>
        <v>0</v>
      </c>
      <c r="E594" s="549">
        <f t="shared" si="35"/>
        <v>0</v>
      </c>
      <c r="F594" s="506">
        <f t="shared" si="31"/>
        <v>0</v>
      </c>
      <c r="G594" s="554">
        <f t="shared" si="32"/>
        <v>0</v>
      </c>
      <c r="H594" s="555">
        <f t="shared" si="33"/>
        <v>0</v>
      </c>
      <c r="I594" s="552">
        <f t="shared" si="34"/>
        <v>0</v>
      </c>
      <c r="J594" s="552"/>
      <c r="K594" s="572"/>
      <c r="L594" s="556"/>
      <c r="M594" s="572"/>
      <c r="N594" s="556"/>
      <c r="O594" s="556"/>
    </row>
    <row r="595" spans="3:15">
      <c r="C595" s="548">
        <f>IF(D542="","-",+C594+1)</f>
        <v>2063</v>
      </c>
      <c r="D595" s="506">
        <f t="shared" si="30"/>
        <v>0</v>
      </c>
      <c r="E595" s="549">
        <f t="shared" si="35"/>
        <v>0</v>
      </c>
      <c r="F595" s="506">
        <f t="shared" si="31"/>
        <v>0</v>
      </c>
      <c r="G595" s="554">
        <f t="shared" si="32"/>
        <v>0</v>
      </c>
      <c r="H595" s="555">
        <f t="shared" si="33"/>
        <v>0</v>
      </c>
      <c r="I595" s="552">
        <f t="shared" si="34"/>
        <v>0</v>
      </c>
      <c r="J595" s="552"/>
      <c r="K595" s="572"/>
      <c r="L595" s="556"/>
      <c r="M595" s="572"/>
      <c r="N595" s="556"/>
      <c r="O595" s="556"/>
    </row>
    <row r="596" spans="3:15">
      <c r="C596" s="548">
        <f>IF(D542="","-",+C595+1)</f>
        <v>2064</v>
      </c>
      <c r="D596" s="506">
        <f t="shared" si="30"/>
        <v>0</v>
      </c>
      <c r="E596" s="549">
        <f t="shared" si="35"/>
        <v>0</v>
      </c>
      <c r="F596" s="506">
        <f t="shared" si="31"/>
        <v>0</v>
      </c>
      <c r="G596" s="554">
        <f t="shared" si="32"/>
        <v>0</v>
      </c>
      <c r="H596" s="555">
        <f t="shared" si="33"/>
        <v>0</v>
      </c>
      <c r="I596" s="552">
        <f t="shared" si="34"/>
        <v>0</v>
      </c>
      <c r="J596" s="552"/>
      <c r="K596" s="572"/>
      <c r="L596" s="556"/>
      <c r="M596" s="572"/>
      <c r="N596" s="556"/>
      <c r="O596" s="556"/>
    </row>
    <row r="597" spans="3:15">
      <c r="C597" s="548">
        <f>IF(D542="","-",+C596+1)</f>
        <v>2065</v>
      </c>
      <c r="D597" s="506">
        <f t="shared" si="30"/>
        <v>0</v>
      </c>
      <c r="E597" s="549">
        <f t="shared" si="35"/>
        <v>0</v>
      </c>
      <c r="F597" s="506">
        <f t="shared" si="31"/>
        <v>0</v>
      </c>
      <c r="G597" s="554">
        <f t="shared" si="32"/>
        <v>0</v>
      </c>
      <c r="H597" s="555">
        <f t="shared" si="33"/>
        <v>0</v>
      </c>
      <c r="I597" s="552">
        <f t="shared" si="34"/>
        <v>0</v>
      </c>
      <c r="J597" s="552"/>
      <c r="K597" s="572"/>
      <c r="L597" s="556"/>
      <c r="M597" s="572"/>
      <c r="N597" s="556"/>
      <c r="O597" s="556"/>
    </row>
    <row r="598" spans="3:15">
      <c r="C598" s="548">
        <f>IF(D542="","-",+C597+1)</f>
        <v>2066</v>
      </c>
      <c r="D598" s="506">
        <f t="shared" si="30"/>
        <v>0</v>
      </c>
      <c r="E598" s="549">
        <f t="shared" si="35"/>
        <v>0</v>
      </c>
      <c r="F598" s="506">
        <f t="shared" si="31"/>
        <v>0</v>
      </c>
      <c r="G598" s="554">
        <f t="shared" si="32"/>
        <v>0</v>
      </c>
      <c r="H598" s="555">
        <f t="shared" si="33"/>
        <v>0</v>
      </c>
      <c r="I598" s="552">
        <f t="shared" si="34"/>
        <v>0</v>
      </c>
      <c r="J598" s="552"/>
      <c r="K598" s="572"/>
      <c r="L598" s="556"/>
      <c r="M598" s="572"/>
      <c r="N598" s="556"/>
      <c r="O598" s="556"/>
    </row>
    <row r="599" spans="3:15">
      <c r="C599" s="548">
        <f>IF(D542="","-",+C598+1)</f>
        <v>2067</v>
      </c>
      <c r="D599" s="506">
        <f t="shared" si="30"/>
        <v>0</v>
      </c>
      <c r="E599" s="549">
        <f t="shared" si="35"/>
        <v>0</v>
      </c>
      <c r="F599" s="506">
        <f t="shared" si="31"/>
        <v>0</v>
      </c>
      <c r="G599" s="554">
        <f t="shared" si="32"/>
        <v>0</v>
      </c>
      <c r="H599" s="555">
        <f t="shared" si="33"/>
        <v>0</v>
      </c>
      <c r="I599" s="552">
        <f t="shared" si="34"/>
        <v>0</v>
      </c>
      <c r="J599" s="552"/>
      <c r="K599" s="572"/>
      <c r="L599" s="556"/>
      <c r="M599" s="572"/>
      <c r="N599" s="556"/>
      <c r="O599" s="556"/>
    </row>
    <row r="600" spans="3:15">
      <c r="C600" s="548">
        <f>IF(D542="","-",+C599+1)</f>
        <v>2068</v>
      </c>
      <c r="D600" s="506">
        <f t="shared" si="30"/>
        <v>0</v>
      </c>
      <c r="E600" s="549">
        <f t="shared" si="35"/>
        <v>0</v>
      </c>
      <c r="F600" s="506">
        <f t="shared" si="31"/>
        <v>0</v>
      </c>
      <c r="G600" s="554">
        <f t="shared" si="32"/>
        <v>0</v>
      </c>
      <c r="H600" s="555">
        <f t="shared" si="33"/>
        <v>0</v>
      </c>
      <c r="I600" s="552">
        <f t="shared" si="34"/>
        <v>0</v>
      </c>
      <c r="J600" s="552"/>
      <c r="K600" s="572"/>
      <c r="L600" s="556"/>
      <c r="M600" s="572"/>
      <c r="N600" s="556"/>
      <c r="O600" s="556"/>
    </row>
    <row r="601" spans="3:15">
      <c r="C601" s="548">
        <f>IF(D542="","-",+C600+1)</f>
        <v>2069</v>
      </c>
      <c r="D601" s="506">
        <f t="shared" si="30"/>
        <v>0</v>
      </c>
      <c r="E601" s="549">
        <f t="shared" si="35"/>
        <v>0</v>
      </c>
      <c r="F601" s="506">
        <f t="shared" si="31"/>
        <v>0</v>
      </c>
      <c r="G601" s="554">
        <f t="shared" si="32"/>
        <v>0</v>
      </c>
      <c r="H601" s="555">
        <f t="shared" si="33"/>
        <v>0</v>
      </c>
      <c r="I601" s="552">
        <f t="shared" si="34"/>
        <v>0</v>
      </c>
      <c r="J601" s="552"/>
      <c r="K601" s="572"/>
      <c r="L601" s="556"/>
      <c r="M601" s="572"/>
      <c r="N601" s="556"/>
      <c r="O601" s="556"/>
    </row>
    <row r="602" spans="3:15">
      <c r="C602" s="548">
        <f>IF(D542="","-",+C601+1)</f>
        <v>2070</v>
      </c>
      <c r="D602" s="506">
        <f t="shared" si="30"/>
        <v>0</v>
      </c>
      <c r="E602" s="549">
        <f t="shared" si="35"/>
        <v>0</v>
      </c>
      <c r="F602" s="506">
        <f t="shared" si="31"/>
        <v>0</v>
      </c>
      <c r="G602" s="554">
        <f t="shared" si="32"/>
        <v>0</v>
      </c>
      <c r="H602" s="555">
        <f t="shared" si="33"/>
        <v>0</v>
      </c>
      <c r="I602" s="552">
        <f t="shared" si="34"/>
        <v>0</v>
      </c>
      <c r="J602" s="552"/>
      <c r="K602" s="572"/>
      <c r="L602" s="556"/>
      <c r="M602" s="572"/>
      <c r="N602" s="556"/>
      <c r="O602" s="556"/>
    </row>
    <row r="603" spans="3:15">
      <c r="C603" s="548">
        <f>IF(D542="","-",+C602+1)</f>
        <v>2071</v>
      </c>
      <c r="D603" s="506">
        <f t="shared" si="30"/>
        <v>0</v>
      </c>
      <c r="E603" s="549">
        <f t="shared" si="35"/>
        <v>0</v>
      </c>
      <c r="F603" s="506">
        <f t="shared" si="31"/>
        <v>0</v>
      </c>
      <c r="G603" s="554">
        <f t="shared" si="32"/>
        <v>0</v>
      </c>
      <c r="H603" s="555">
        <f t="shared" si="33"/>
        <v>0</v>
      </c>
      <c r="I603" s="552">
        <f t="shared" si="34"/>
        <v>0</v>
      </c>
      <c r="J603" s="552"/>
      <c r="K603" s="572"/>
      <c r="L603" s="556"/>
      <c r="M603" s="572"/>
      <c r="N603" s="556"/>
      <c r="O603" s="556"/>
    </row>
    <row r="604" spans="3:15">
      <c r="C604" s="548">
        <f>IF(D542="","-",+C603+1)</f>
        <v>2072</v>
      </c>
      <c r="D604" s="506">
        <f t="shared" si="30"/>
        <v>0</v>
      </c>
      <c r="E604" s="549">
        <f t="shared" si="35"/>
        <v>0</v>
      </c>
      <c r="F604" s="506">
        <f t="shared" si="31"/>
        <v>0</v>
      </c>
      <c r="G604" s="554">
        <f t="shared" si="32"/>
        <v>0</v>
      </c>
      <c r="H604" s="555">
        <f t="shared" si="33"/>
        <v>0</v>
      </c>
      <c r="I604" s="552">
        <f t="shared" si="34"/>
        <v>0</v>
      </c>
      <c r="J604" s="552"/>
      <c r="K604" s="572"/>
      <c r="L604" s="556"/>
      <c r="M604" s="572"/>
      <c r="N604" s="556"/>
      <c r="O604" s="556"/>
    </row>
    <row r="605" spans="3:15">
      <c r="C605" s="548">
        <f>IF(D542="","-",+C604+1)</f>
        <v>2073</v>
      </c>
      <c r="D605" s="506">
        <f t="shared" si="30"/>
        <v>0</v>
      </c>
      <c r="E605" s="549">
        <f t="shared" si="35"/>
        <v>0</v>
      </c>
      <c r="F605" s="506">
        <f t="shared" si="31"/>
        <v>0</v>
      </c>
      <c r="G605" s="554">
        <f t="shared" si="32"/>
        <v>0</v>
      </c>
      <c r="H605" s="555">
        <f t="shared" si="33"/>
        <v>0</v>
      </c>
      <c r="I605" s="552">
        <f t="shared" si="34"/>
        <v>0</v>
      </c>
      <c r="J605" s="552"/>
      <c r="K605" s="572"/>
      <c r="L605" s="556"/>
      <c r="M605" s="572"/>
      <c r="N605" s="556"/>
      <c r="O605" s="556"/>
    </row>
    <row r="606" spans="3:15">
      <c r="C606" s="548">
        <f>IF(D542="","-",+C605+1)</f>
        <v>2074</v>
      </c>
      <c r="D606" s="506">
        <f t="shared" si="30"/>
        <v>0</v>
      </c>
      <c r="E606" s="549">
        <f t="shared" si="35"/>
        <v>0</v>
      </c>
      <c r="F606" s="506">
        <f t="shared" si="31"/>
        <v>0</v>
      </c>
      <c r="G606" s="554">
        <f t="shared" si="32"/>
        <v>0</v>
      </c>
      <c r="H606" s="555">
        <f t="shared" si="33"/>
        <v>0</v>
      </c>
      <c r="I606" s="552">
        <f t="shared" si="34"/>
        <v>0</v>
      </c>
      <c r="J606" s="552"/>
      <c r="K606" s="572"/>
      <c r="L606" s="556"/>
      <c r="M606" s="572"/>
      <c r="N606" s="556"/>
      <c r="O606" s="556"/>
    </row>
    <row r="607" spans="3:15" ht="13.5" thickBot="1">
      <c r="C607" s="558">
        <f>IF(D542="","-",+C606+1)</f>
        <v>2075</v>
      </c>
      <c r="D607" s="559">
        <f t="shared" si="30"/>
        <v>0</v>
      </c>
      <c r="E607" s="560">
        <f t="shared" si="35"/>
        <v>0</v>
      </c>
      <c r="F607" s="559">
        <f t="shared" si="31"/>
        <v>0</v>
      </c>
      <c r="G607" s="561">
        <f t="shared" si="32"/>
        <v>0</v>
      </c>
      <c r="H607" s="561">
        <f t="shared" si="33"/>
        <v>0</v>
      </c>
      <c r="I607" s="562">
        <f t="shared" si="34"/>
        <v>0</v>
      </c>
      <c r="J607" s="552"/>
      <c r="K607" s="573"/>
      <c r="L607" s="563"/>
      <c r="M607" s="573"/>
      <c r="N607" s="563"/>
      <c r="O607" s="563"/>
    </row>
    <row r="608" spans="3:15">
      <c r="C608" s="506" t="s">
        <v>91</v>
      </c>
      <c r="D608" s="503"/>
      <c r="E608" s="503">
        <f>SUM(E548:E607)</f>
        <v>52114617</v>
      </c>
      <c r="F608" s="503"/>
      <c r="G608" s="503">
        <f>SUM(G548:G607)</f>
        <v>161357559.12623486</v>
      </c>
      <c r="H608" s="503">
        <f>SUM(H548:H607)</f>
        <v>161357559.12623486</v>
      </c>
      <c r="I608" s="503">
        <f>SUM(I548:I607)</f>
        <v>0</v>
      </c>
      <c r="J608" s="503"/>
      <c r="K608" s="503"/>
      <c r="L608" s="503"/>
      <c r="M608" s="503"/>
      <c r="N608" s="503"/>
      <c r="O608" s="3"/>
    </row>
    <row r="609" spans="1:16">
      <c r="D609" s="47"/>
      <c r="E609" s="3"/>
      <c r="F609" s="3"/>
      <c r="G609" s="3"/>
      <c r="H609" s="490"/>
      <c r="I609" s="490"/>
      <c r="J609" s="503"/>
      <c r="K609" s="490"/>
      <c r="L609" s="490"/>
      <c r="M609" s="490"/>
      <c r="N609" s="490"/>
      <c r="O609" s="3"/>
    </row>
    <row r="610" spans="1:16">
      <c r="C610" s="3" t="s">
        <v>13</v>
      </c>
      <c r="D610" s="47"/>
      <c r="E610" s="3"/>
      <c r="F610" s="3"/>
      <c r="G610" s="3"/>
      <c r="H610" s="490"/>
      <c r="I610" s="490"/>
      <c r="J610" s="503"/>
      <c r="K610" s="490"/>
      <c r="L610" s="490"/>
      <c r="M610" s="490"/>
      <c r="N610" s="490"/>
      <c r="O610" s="3"/>
    </row>
    <row r="611" spans="1:16">
      <c r="C611" s="3"/>
      <c r="D611" s="47"/>
      <c r="E611" s="3"/>
      <c r="F611" s="3"/>
      <c r="G611" s="3"/>
      <c r="H611" s="490"/>
      <c r="I611" s="490"/>
      <c r="J611" s="503"/>
      <c r="K611" s="490"/>
      <c r="L611" s="490"/>
      <c r="M611" s="490"/>
      <c r="N611" s="490"/>
      <c r="O611" s="3"/>
    </row>
    <row r="612" spans="1:16">
      <c r="C612" s="518" t="s">
        <v>14</v>
      </c>
      <c r="D612" s="506"/>
      <c r="E612" s="506"/>
      <c r="F612" s="506"/>
      <c r="G612" s="503"/>
      <c r="H612" s="503"/>
      <c r="I612" s="564"/>
      <c r="J612" s="564"/>
      <c r="K612" s="564"/>
      <c r="L612" s="564"/>
      <c r="M612" s="564"/>
      <c r="N612" s="564"/>
      <c r="O612" s="3"/>
    </row>
    <row r="613" spans="1:16">
      <c r="C613" s="507" t="s">
        <v>271</v>
      </c>
      <c r="D613" s="506"/>
      <c r="E613" s="506"/>
      <c r="F613" s="506"/>
      <c r="G613" s="503"/>
      <c r="H613" s="503"/>
      <c r="I613" s="564"/>
      <c r="J613" s="564"/>
      <c r="K613" s="564"/>
      <c r="L613" s="564"/>
      <c r="M613" s="564"/>
      <c r="N613" s="564"/>
      <c r="O613" s="3"/>
    </row>
    <row r="614" spans="1:16">
      <c r="C614" s="507" t="s">
        <v>92</v>
      </c>
      <c r="D614" s="506"/>
      <c r="E614" s="506"/>
      <c r="F614" s="506"/>
      <c r="G614" s="503"/>
      <c r="H614" s="503"/>
      <c r="I614" s="564"/>
      <c r="J614" s="564"/>
      <c r="K614" s="564"/>
      <c r="L614" s="564"/>
      <c r="M614" s="564"/>
      <c r="N614" s="564"/>
      <c r="O614" s="3"/>
    </row>
    <row r="615" spans="1:16">
      <c r="C615" s="507"/>
      <c r="D615" s="506"/>
      <c r="E615" s="506"/>
      <c r="F615" s="506"/>
      <c r="G615" s="503"/>
      <c r="H615" s="503"/>
      <c r="I615" s="564"/>
      <c r="J615" s="564"/>
      <c r="K615" s="564"/>
      <c r="L615" s="564"/>
      <c r="M615" s="564"/>
      <c r="N615" s="564"/>
      <c r="O615" s="3"/>
    </row>
    <row r="616" spans="1:16">
      <c r="C616" s="1209" t="s">
        <v>6</v>
      </c>
      <c r="D616" s="1209"/>
      <c r="E616" s="1209"/>
      <c r="F616" s="1209"/>
      <c r="G616" s="1209"/>
      <c r="H616" s="1209"/>
      <c r="I616" s="1209"/>
      <c r="J616" s="1209"/>
      <c r="K616" s="1209"/>
      <c r="L616" s="1209"/>
      <c r="M616" s="1209"/>
      <c r="N616" s="1209"/>
      <c r="O616" s="1209"/>
    </row>
    <row r="617" spans="1:16">
      <c r="C617" s="1209"/>
      <c r="D617" s="1209"/>
      <c r="E617" s="1209"/>
      <c r="F617" s="1209"/>
      <c r="G617" s="1209"/>
      <c r="H617" s="1209"/>
      <c r="I617" s="1209"/>
      <c r="J617" s="1209"/>
      <c r="K617" s="1209"/>
      <c r="L617" s="1209"/>
      <c r="M617" s="1209"/>
      <c r="N617" s="1209"/>
      <c r="O617" s="1209"/>
    </row>
    <row r="618" spans="1:16" ht="20.25">
      <c r="A618" s="447" t="str">
        <f>""&amp;A542&amp;" Worksheet J -  ATRR PROJECTED Calculation for PJM Projects Charged to Benefiting Zones"</f>
        <v xml:space="preserve"> Worksheet J -  ATRR PROJECTED Calculation for PJM Projects Charged to Benefiting Zones</v>
      </c>
      <c r="B618" s="3"/>
      <c r="C618" s="3"/>
      <c r="D618" s="47"/>
      <c r="E618" s="3"/>
      <c r="F618" s="489"/>
      <c r="G618" s="3"/>
      <c r="H618" s="490"/>
      <c r="K618" s="398"/>
      <c r="L618" s="398"/>
      <c r="M618" s="398"/>
      <c r="N618" s="398" t="str">
        <f>"Page "&amp;SUM(P$8:P618)&amp;" of "</f>
        <v xml:space="preserve">Page 8 of </v>
      </c>
      <c r="O618" s="448">
        <f>COUNT(P$8:P$56656)</f>
        <v>11</v>
      </c>
      <c r="P618">
        <v>1</v>
      </c>
    </row>
    <row r="619" spans="1:16" ht="20.25">
      <c r="A619" s="447"/>
      <c r="B619" s="3"/>
      <c r="C619" s="3"/>
      <c r="D619" s="47"/>
      <c r="E619" s="3"/>
      <c r="F619" s="489"/>
      <c r="G619" s="3"/>
      <c r="H619" s="490"/>
      <c r="K619" s="398"/>
      <c r="L619" s="398"/>
      <c r="M619" s="398"/>
      <c r="N619" s="398"/>
      <c r="O619" s="448"/>
    </row>
    <row r="620" spans="1:16" ht="18">
      <c r="B620" s="449" t="s">
        <v>472</v>
      </c>
      <c r="C620" s="122" t="s">
        <v>93</v>
      </c>
      <c r="D620" s="47"/>
      <c r="E620" s="3"/>
      <c r="F620" s="3"/>
      <c r="G620" s="3"/>
      <c r="H620" s="490"/>
      <c r="I620" s="490"/>
      <c r="J620" s="503"/>
      <c r="K620" s="490"/>
      <c r="L620" s="490"/>
      <c r="M620" s="490"/>
      <c r="N620" s="490"/>
      <c r="O620" s="3"/>
    </row>
    <row r="621" spans="1:16" ht="18.75">
      <c r="B621" s="449"/>
      <c r="C621" s="6"/>
      <c r="D621" s="47"/>
      <c r="E621" s="3"/>
      <c r="F621" s="3"/>
      <c r="G621" s="3"/>
      <c r="H621" s="490"/>
      <c r="I621" s="490"/>
      <c r="J621" s="503"/>
      <c r="K621" s="490"/>
      <c r="L621" s="490"/>
      <c r="M621" s="490"/>
      <c r="N621" s="490"/>
      <c r="O621" s="3"/>
    </row>
    <row r="622" spans="1:16" ht="18.75">
      <c r="B622" s="449"/>
      <c r="C622" s="6" t="s">
        <v>94</v>
      </c>
      <c r="D622" s="47"/>
      <c r="E622" s="3"/>
      <c r="F622" s="3"/>
      <c r="G622" s="3"/>
      <c r="H622" s="490"/>
      <c r="I622" s="490"/>
      <c r="J622" s="503"/>
      <c r="K622" s="490"/>
      <c r="L622" s="490"/>
      <c r="M622" s="490"/>
      <c r="N622" s="490"/>
      <c r="O622" s="3"/>
    </row>
    <row r="623" spans="1:16" ht="15.75" thickBot="1">
      <c r="C623" s="132"/>
      <c r="D623" s="47"/>
      <c r="E623" s="3"/>
      <c r="F623" s="3"/>
      <c r="G623" s="3"/>
      <c r="H623" s="490"/>
      <c r="I623" s="490"/>
      <c r="J623" s="503"/>
      <c r="K623" s="490"/>
      <c r="L623" s="490"/>
      <c r="M623" s="490"/>
      <c r="N623" s="490"/>
      <c r="O623" s="3"/>
    </row>
    <row r="624" spans="1:16" ht="15.75">
      <c r="C624" s="451" t="s">
        <v>95</v>
      </c>
      <c r="D624" s="47"/>
      <c r="E624" s="3"/>
      <c r="F624" s="3"/>
      <c r="G624" s="566"/>
      <c r="H624" s="3" t="s">
        <v>74</v>
      </c>
      <c r="I624" s="3"/>
      <c r="J624" s="3"/>
      <c r="K624" s="509" t="s">
        <v>99</v>
      </c>
      <c r="L624" s="510"/>
      <c r="M624" s="511"/>
      <c r="N624" s="512">
        <f>IF(I630=0,0,VLOOKUP(I630,C637:O696,5))</f>
        <v>5621520.5397872562</v>
      </c>
      <c r="O624" s="3"/>
    </row>
    <row r="625" spans="2:15" ht="15.75">
      <c r="C625" s="451"/>
      <c r="D625" s="47"/>
      <c r="E625" s="3"/>
      <c r="F625" s="3"/>
      <c r="G625" s="3"/>
      <c r="H625" s="513"/>
      <c r="I625" s="513"/>
      <c r="J625" s="514"/>
      <c r="K625" s="515" t="s">
        <v>100</v>
      </c>
      <c r="L625" s="516"/>
      <c r="M625" s="3"/>
      <c r="N625" s="517">
        <f>IF(I630=0,0,VLOOKUP(I630,C637:O696,6))</f>
        <v>5621520.5397872562</v>
      </c>
      <c r="O625" s="3"/>
    </row>
    <row r="626" spans="2:15" ht="13.5" thickBot="1">
      <c r="C626" s="518" t="s">
        <v>96</v>
      </c>
      <c r="D626" s="1210" t="s">
        <v>821</v>
      </c>
      <c r="E626" s="1210"/>
      <c r="F626" s="1210"/>
      <c r="G626" s="1210"/>
      <c r="H626" s="1210"/>
      <c r="I626" s="1210"/>
      <c r="J626" s="503"/>
      <c r="K626" s="519" t="s">
        <v>238</v>
      </c>
      <c r="L626" s="520"/>
      <c r="M626" s="520"/>
      <c r="N626" s="521">
        <f>+N625-N624</f>
        <v>0</v>
      </c>
      <c r="O626" s="3"/>
    </row>
    <row r="627" spans="2:15">
      <c r="C627" s="522"/>
      <c r="D627" s="1210"/>
      <c r="E627" s="1210"/>
      <c r="F627" s="1210"/>
      <c r="G627" s="1210"/>
      <c r="H627" s="1210"/>
      <c r="I627" s="1210"/>
      <c r="J627" s="503"/>
      <c r="K627" s="490"/>
      <c r="L627" s="490"/>
      <c r="M627" s="490"/>
      <c r="N627" s="490"/>
      <c r="O627" s="3"/>
    </row>
    <row r="628" spans="2:15" ht="13.5" thickBot="1">
      <c r="C628" s="522"/>
      <c r="D628" s="3"/>
      <c r="E628" s="524"/>
      <c r="F628" s="524"/>
      <c r="G628" s="524"/>
      <c r="H628" s="524"/>
      <c r="I628" s="524"/>
      <c r="J628" s="524"/>
      <c r="K628" s="524"/>
      <c r="L628" s="524"/>
      <c r="M628" s="524"/>
      <c r="N628" s="524"/>
      <c r="O628" s="3"/>
    </row>
    <row r="629" spans="2:15" ht="13.5" thickBot="1">
      <c r="C629" s="525" t="s">
        <v>97</v>
      </c>
      <c r="D629" s="526"/>
      <c r="E629" s="526"/>
      <c r="F629" s="526"/>
      <c r="G629" s="526"/>
      <c r="H629" s="526"/>
      <c r="I629" s="527"/>
      <c r="K629" s="3"/>
      <c r="L629" s="3"/>
      <c r="M629" s="3"/>
      <c r="N629" s="3"/>
      <c r="O629" s="3"/>
    </row>
    <row r="630" spans="2:15" ht="15">
      <c r="C630" s="528" t="s">
        <v>75</v>
      </c>
      <c r="D630" s="568">
        <v>50167493</v>
      </c>
      <c r="E630" s="3" t="s">
        <v>76</v>
      </c>
      <c r="G630" s="47"/>
      <c r="H630" s="47"/>
      <c r="I630" s="529">
        <f>$L$26</f>
        <v>2025</v>
      </c>
      <c r="J630" s="70"/>
      <c r="K630" s="1211" t="s">
        <v>247</v>
      </c>
      <c r="L630" s="1211"/>
      <c r="M630" s="1211"/>
      <c r="N630" s="1211"/>
      <c r="O630" s="1211"/>
    </row>
    <row r="631" spans="2:15">
      <c r="C631" s="528" t="s">
        <v>78</v>
      </c>
      <c r="D631" s="569">
        <v>2016</v>
      </c>
      <c r="E631" s="528" t="s">
        <v>79</v>
      </c>
      <c r="F631" s="47"/>
      <c r="H631"/>
      <c r="I631" s="570">
        <f>IF(G624="",0,$F$17)</f>
        <v>0</v>
      </c>
      <c r="J631" s="530"/>
      <c r="K631" s="503" t="s">
        <v>247</v>
      </c>
    </row>
    <row r="632" spans="2:15">
      <c r="C632" s="528" t="s">
        <v>80</v>
      </c>
      <c r="D632" s="568">
        <v>12</v>
      </c>
      <c r="E632" s="528" t="s">
        <v>81</v>
      </c>
      <c r="F632" s="47"/>
      <c r="H632"/>
      <c r="I632" s="531">
        <f>$G$70</f>
        <v>0.11032660055737779</v>
      </c>
      <c r="J632" s="489"/>
      <c r="K632" t="str">
        <f>"          INPUT PROJECTED ARR (WITH &amp; WITHOUT INCENTIVES) FROM EACH PRIOR YEAR"</f>
        <v xml:space="preserve">          INPUT PROJECTED ARR (WITH &amp; WITHOUT INCENTIVES) FROM EACH PRIOR YEAR</v>
      </c>
    </row>
    <row r="633" spans="2:15">
      <c r="C633" s="528" t="s">
        <v>82</v>
      </c>
      <c r="D633" s="532">
        <f>$G$79</f>
        <v>36</v>
      </c>
      <c r="E633" s="528" t="s">
        <v>83</v>
      </c>
      <c r="F633" s="47"/>
      <c r="H633"/>
      <c r="I633" s="531">
        <f>IF(G624="",I632,$G$69)</f>
        <v>0.11032660055737779</v>
      </c>
      <c r="J633" s="489"/>
      <c r="K633" t="s">
        <v>160</v>
      </c>
    </row>
    <row r="634" spans="2:15" ht="13.5" thickBot="1">
      <c r="C634" s="528" t="s">
        <v>84</v>
      </c>
      <c r="D634" s="567" t="s">
        <v>812</v>
      </c>
      <c r="E634" s="533" t="s">
        <v>85</v>
      </c>
      <c r="F634" s="534"/>
      <c r="G634" s="535"/>
      <c r="H634" s="535"/>
      <c r="I634" s="521">
        <f>IF(D630=0,0,D630/D633)</f>
        <v>1393541.4722222222</v>
      </c>
      <c r="J634" s="503"/>
      <c r="K634" s="503" t="s">
        <v>166</v>
      </c>
      <c r="L634" s="503"/>
      <c r="M634" s="503"/>
      <c r="N634" s="503"/>
      <c r="O634" s="3"/>
    </row>
    <row r="635" spans="2:15" ht="51">
      <c r="B635" s="450"/>
      <c r="C635" s="536" t="s">
        <v>75</v>
      </c>
      <c r="D635" s="537" t="s">
        <v>86</v>
      </c>
      <c r="E635" s="538" t="s">
        <v>87</v>
      </c>
      <c r="F635" s="537" t="s">
        <v>88</v>
      </c>
      <c r="G635" s="538" t="s">
        <v>159</v>
      </c>
      <c r="H635" s="539" t="s">
        <v>159</v>
      </c>
      <c r="I635" s="536" t="s">
        <v>98</v>
      </c>
      <c r="J635" s="540"/>
      <c r="K635" s="538" t="s">
        <v>168</v>
      </c>
      <c r="L635" s="541"/>
      <c r="M635" s="538" t="s">
        <v>168</v>
      </c>
      <c r="N635" s="541"/>
      <c r="O635" s="541"/>
    </row>
    <row r="636" spans="2:15" ht="13.5" thickBot="1">
      <c r="C636" s="542" t="s">
        <v>475</v>
      </c>
      <c r="D636" s="543" t="s">
        <v>476</v>
      </c>
      <c r="E636" s="542" t="s">
        <v>369</v>
      </c>
      <c r="F636" s="543" t="s">
        <v>476</v>
      </c>
      <c r="G636" s="544" t="s">
        <v>101</v>
      </c>
      <c r="H636" s="545" t="s">
        <v>103</v>
      </c>
      <c r="I636" s="542" t="s">
        <v>15</v>
      </c>
      <c r="J636" s="546"/>
      <c r="K636" s="544" t="s">
        <v>90</v>
      </c>
      <c r="L636" s="547"/>
      <c r="M636" s="544" t="s">
        <v>103</v>
      </c>
      <c r="N636" s="547"/>
      <c r="O636" s="547"/>
    </row>
    <row r="637" spans="2:15">
      <c r="C637" s="548">
        <f>IF(D631= "","-",D631)</f>
        <v>2016</v>
      </c>
      <c r="D637" s="506">
        <f>+D630</f>
        <v>50167493</v>
      </c>
      <c r="E637" s="549">
        <f>+I634/12*(12-D632)</f>
        <v>0</v>
      </c>
      <c r="F637" s="506">
        <f>+D637-E637</f>
        <v>50167493</v>
      </c>
      <c r="G637" s="731">
        <f>+$I$96*((D637+F637)/2)+E637</f>
        <v>5534808.9611760462</v>
      </c>
      <c r="H637" s="732">
        <f>$I$97*((D637+F637)/2)+E637</f>
        <v>5534808.9611760462</v>
      </c>
      <c r="I637" s="552">
        <f>+H637-G637</f>
        <v>0</v>
      </c>
      <c r="J637" s="552"/>
      <c r="K637" s="571">
        <v>4514116</v>
      </c>
      <c r="L637" s="553"/>
      <c r="M637" s="571">
        <v>4514116</v>
      </c>
      <c r="N637" s="553"/>
      <c r="O637" s="553"/>
    </row>
    <row r="638" spans="2:15">
      <c r="C638" s="548">
        <f>IF(D631="","-",+C637+1)</f>
        <v>2017</v>
      </c>
      <c r="D638" s="506">
        <f t="shared" ref="D638:D696" si="36">F637</f>
        <v>50167493</v>
      </c>
      <c r="E638" s="549">
        <f>IF(D638&gt;$I$634,$I$634,D638)</f>
        <v>1393541.4722222222</v>
      </c>
      <c r="F638" s="506">
        <f t="shared" ref="F638:F696" si="37">+D638-E638</f>
        <v>48773951.527777776</v>
      </c>
      <c r="G638" s="554">
        <f t="shared" ref="G638:G696" si="38">+$I$96*((D638+F638)/2)+E638</f>
        <v>6851478.086715268</v>
      </c>
      <c r="H638" s="555">
        <f t="shared" ref="H638:H696" si="39">$I$97*((D638+F638)/2)+E638</f>
        <v>6851478.086715268</v>
      </c>
      <c r="I638" s="552">
        <f t="shared" ref="I638:I696" si="40">+H638-G638</f>
        <v>0</v>
      </c>
      <c r="J638" s="552"/>
      <c r="K638" s="572">
        <v>7261914</v>
      </c>
      <c r="L638" s="556"/>
      <c r="M638" s="572">
        <v>7261914</v>
      </c>
      <c r="N638" s="556"/>
      <c r="O638" s="556"/>
    </row>
    <row r="639" spans="2:15">
      <c r="C639" s="966">
        <f>IF(D631="","-",+C638+1)</f>
        <v>2018</v>
      </c>
      <c r="D639" s="506">
        <f t="shared" si="36"/>
        <v>48773951.527777776</v>
      </c>
      <c r="E639" s="549">
        <f t="shared" ref="E639:E696" si="41">IF(D639&gt;$I$634,$I$634,D639)</f>
        <v>1393541.4722222222</v>
      </c>
      <c r="F639" s="506">
        <f t="shared" si="37"/>
        <v>47380410.055555552</v>
      </c>
      <c r="G639" s="554">
        <f t="shared" si="38"/>
        <v>6697733.3933492666</v>
      </c>
      <c r="H639" s="555">
        <f t="shared" si="39"/>
        <v>6697733.3933492666</v>
      </c>
      <c r="I639" s="552">
        <f t="shared" si="40"/>
        <v>0</v>
      </c>
      <c r="J639" s="552"/>
      <c r="K639" s="572">
        <v>5720037</v>
      </c>
      <c r="L639" s="556"/>
      <c r="M639" s="572">
        <v>5720037</v>
      </c>
      <c r="N639" s="556"/>
      <c r="O639" s="556"/>
    </row>
    <row r="640" spans="2:15">
      <c r="C640" s="956">
        <f>IF(D631="","-",+C639+1)</f>
        <v>2019</v>
      </c>
      <c r="D640" s="506">
        <f t="shared" si="36"/>
        <v>47380410.055555552</v>
      </c>
      <c r="E640" s="549">
        <f t="shared" si="41"/>
        <v>1393541.4722222222</v>
      </c>
      <c r="F640" s="506">
        <f t="shared" si="37"/>
        <v>45986868.583333328</v>
      </c>
      <c r="G640" s="554">
        <f t="shared" si="38"/>
        <v>6543988.6999832653</v>
      </c>
      <c r="H640" s="555">
        <f t="shared" si="39"/>
        <v>6543988.6999832653</v>
      </c>
      <c r="I640" s="552">
        <f t="shared" si="40"/>
        <v>0</v>
      </c>
      <c r="J640" s="552"/>
      <c r="K640" s="572"/>
      <c r="L640" s="556"/>
      <c r="M640" s="572"/>
      <c r="N640" s="556"/>
      <c r="O640" s="556"/>
    </row>
    <row r="641" spans="3:15">
      <c r="C641" s="548">
        <f>IF(D631="","-",+C640+1)</f>
        <v>2020</v>
      </c>
      <c r="D641" s="506">
        <f t="shared" si="36"/>
        <v>45986868.583333328</v>
      </c>
      <c r="E641" s="549">
        <f t="shared" si="41"/>
        <v>1393541.4722222222</v>
      </c>
      <c r="F641" s="506">
        <f t="shared" si="37"/>
        <v>44593327.111111104</v>
      </c>
      <c r="G641" s="554">
        <f t="shared" si="38"/>
        <v>6390244.006617263</v>
      </c>
      <c r="H641" s="555">
        <f t="shared" si="39"/>
        <v>6390244.006617263</v>
      </c>
      <c r="I641" s="552">
        <f t="shared" si="40"/>
        <v>0</v>
      </c>
      <c r="J641" s="552"/>
      <c r="K641" s="572"/>
      <c r="L641" s="556"/>
      <c r="M641" s="572"/>
      <c r="N641" s="556"/>
      <c r="O641" s="556"/>
    </row>
    <row r="642" spans="3:15">
      <c r="C642" s="548">
        <f>IF(D631="","-",+C641+1)</f>
        <v>2021</v>
      </c>
      <c r="D642" s="506">
        <f t="shared" si="36"/>
        <v>44593327.111111104</v>
      </c>
      <c r="E642" s="549">
        <f t="shared" si="41"/>
        <v>1393541.4722222222</v>
      </c>
      <c r="F642" s="506">
        <f t="shared" si="37"/>
        <v>43199785.638888881</v>
      </c>
      <c r="G642" s="554">
        <f t="shared" si="38"/>
        <v>6236499.3132512616</v>
      </c>
      <c r="H642" s="555">
        <f t="shared" si="39"/>
        <v>6236499.3132512616</v>
      </c>
      <c r="I642" s="552">
        <f t="shared" si="40"/>
        <v>0</v>
      </c>
      <c r="J642" s="552"/>
      <c r="K642" s="572"/>
      <c r="L642" s="556"/>
      <c r="M642" s="572"/>
      <c r="N642" s="556"/>
      <c r="O642" s="556"/>
    </row>
    <row r="643" spans="3:15">
      <c r="C643" s="548">
        <f>IF(D631="","-",+C642+1)</f>
        <v>2022</v>
      </c>
      <c r="D643" s="506">
        <f t="shared" si="36"/>
        <v>43199785.638888881</v>
      </c>
      <c r="E643" s="549">
        <f t="shared" si="41"/>
        <v>1393541.4722222222</v>
      </c>
      <c r="F643" s="506">
        <f t="shared" si="37"/>
        <v>41806244.166666657</v>
      </c>
      <c r="G643" s="554">
        <f t="shared" si="38"/>
        <v>6082754.6198852602</v>
      </c>
      <c r="H643" s="555">
        <f t="shared" si="39"/>
        <v>6082754.6198852602</v>
      </c>
      <c r="I643" s="552">
        <f t="shared" si="40"/>
        <v>0</v>
      </c>
      <c r="J643" s="552"/>
      <c r="K643" s="572"/>
      <c r="L643" s="556"/>
      <c r="M643" s="572"/>
      <c r="N643" s="556"/>
      <c r="O643" s="556"/>
    </row>
    <row r="644" spans="3:15">
      <c r="C644" s="548">
        <f>IF(D631="","-",+C643+1)</f>
        <v>2023</v>
      </c>
      <c r="D644" s="506">
        <f t="shared" si="36"/>
        <v>41806244.166666657</v>
      </c>
      <c r="E644" s="549">
        <f t="shared" si="41"/>
        <v>1393541.4722222222</v>
      </c>
      <c r="F644" s="506">
        <f t="shared" si="37"/>
        <v>40412702.694444433</v>
      </c>
      <c r="G644" s="554">
        <f t="shared" si="38"/>
        <v>5929009.9265192589</v>
      </c>
      <c r="H644" s="555">
        <f t="shared" si="39"/>
        <v>5929009.9265192589</v>
      </c>
      <c r="I644" s="552">
        <f t="shared" si="40"/>
        <v>0</v>
      </c>
      <c r="J644" s="552"/>
      <c r="K644" s="572"/>
      <c r="L644" s="556"/>
      <c r="M644" s="572"/>
      <c r="N644" s="556"/>
      <c r="O644" s="556"/>
    </row>
    <row r="645" spans="3:15">
      <c r="C645" s="548">
        <f>IF(D631="","-",+C644+1)</f>
        <v>2024</v>
      </c>
      <c r="D645" s="506">
        <f t="shared" si="36"/>
        <v>40412702.694444433</v>
      </c>
      <c r="E645" s="549">
        <f t="shared" si="41"/>
        <v>1393541.4722222222</v>
      </c>
      <c r="F645" s="506">
        <f t="shared" si="37"/>
        <v>39019161.222222209</v>
      </c>
      <c r="G645" s="554">
        <f t="shared" si="38"/>
        <v>5775265.2331532575</v>
      </c>
      <c r="H645" s="555">
        <f t="shared" si="39"/>
        <v>5775265.2331532575</v>
      </c>
      <c r="I645" s="552">
        <f t="shared" si="40"/>
        <v>0</v>
      </c>
      <c r="J645" s="552"/>
      <c r="K645" s="572"/>
      <c r="L645" s="556"/>
      <c r="M645" s="572"/>
      <c r="N645" s="556"/>
      <c r="O645" s="556"/>
    </row>
    <row r="646" spans="3:15">
      <c r="C646" s="548">
        <f>IF(D631="","-",+C645+1)</f>
        <v>2025</v>
      </c>
      <c r="D646" s="506">
        <f t="shared" si="36"/>
        <v>39019161.222222209</v>
      </c>
      <c r="E646" s="549">
        <f t="shared" si="41"/>
        <v>1393541.4722222222</v>
      </c>
      <c r="F646" s="506">
        <f t="shared" si="37"/>
        <v>37625619.749999985</v>
      </c>
      <c r="G646" s="554">
        <f t="shared" si="38"/>
        <v>5621520.5397872562</v>
      </c>
      <c r="H646" s="555">
        <f t="shared" si="39"/>
        <v>5621520.5397872562</v>
      </c>
      <c r="I646" s="552">
        <f t="shared" si="40"/>
        <v>0</v>
      </c>
      <c r="J646" s="552"/>
      <c r="K646" s="572"/>
      <c r="L646" s="556"/>
      <c r="M646" s="572"/>
      <c r="N646" s="556"/>
      <c r="O646" s="556"/>
    </row>
    <row r="647" spans="3:15">
      <c r="C647" s="548">
        <f>IF(D631="","-",+C646+1)</f>
        <v>2026</v>
      </c>
      <c r="D647" s="506">
        <f t="shared" si="36"/>
        <v>37625619.749999985</v>
      </c>
      <c r="E647" s="549">
        <f t="shared" si="41"/>
        <v>1393541.4722222222</v>
      </c>
      <c r="F647" s="506">
        <f t="shared" si="37"/>
        <v>36232078.277777761</v>
      </c>
      <c r="G647" s="554">
        <f t="shared" si="38"/>
        <v>5467775.8464212548</v>
      </c>
      <c r="H647" s="555">
        <f t="shared" si="39"/>
        <v>5467775.8464212548</v>
      </c>
      <c r="I647" s="552">
        <f t="shared" si="40"/>
        <v>0</v>
      </c>
      <c r="J647" s="552"/>
      <c r="K647" s="572"/>
      <c r="L647" s="556"/>
      <c r="M647" s="572"/>
      <c r="N647" s="556"/>
      <c r="O647" s="556"/>
    </row>
    <row r="648" spans="3:15">
      <c r="C648" s="548">
        <f>IF(D631="","-",+C647+1)</f>
        <v>2027</v>
      </c>
      <c r="D648" s="506">
        <f t="shared" si="36"/>
        <v>36232078.277777761</v>
      </c>
      <c r="E648" s="549">
        <f t="shared" si="41"/>
        <v>1393541.4722222222</v>
      </c>
      <c r="F648" s="506">
        <f t="shared" si="37"/>
        <v>34838536.805555537</v>
      </c>
      <c r="G648" s="554">
        <f t="shared" si="38"/>
        <v>5314031.1530552534</v>
      </c>
      <c r="H648" s="555">
        <f t="shared" si="39"/>
        <v>5314031.1530552534</v>
      </c>
      <c r="I648" s="552">
        <f t="shared" si="40"/>
        <v>0</v>
      </c>
      <c r="J648" s="552"/>
      <c r="K648" s="572"/>
      <c r="L648" s="556"/>
      <c r="M648" s="572"/>
      <c r="N648" s="556"/>
      <c r="O648" s="556"/>
    </row>
    <row r="649" spans="3:15">
      <c r="C649" s="548">
        <f>IF(D631="","-",+C648+1)</f>
        <v>2028</v>
      </c>
      <c r="D649" s="506">
        <f t="shared" si="36"/>
        <v>34838536.805555537</v>
      </c>
      <c r="E649" s="549">
        <f t="shared" si="41"/>
        <v>1393541.4722222222</v>
      </c>
      <c r="F649" s="506">
        <f t="shared" si="37"/>
        <v>33444995.333333313</v>
      </c>
      <c r="G649" s="554">
        <f t="shared" si="38"/>
        <v>5160286.4596892521</v>
      </c>
      <c r="H649" s="555">
        <f t="shared" si="39"/>
        <v>5160286.4596892521</v>
      </c>
      <c r="I649" s="552">
        <f t="shared" si="40"/>
        <v>0</v>
      </c>
      <c r="J649" s="552"/>
      <c r="K649" s="572"/>
      <c r="L649" s="556"/>
      <c r="M649" s="572"/>
      <c r="N649" s="557"/>
      <c r="O649" s="556"/>
    </row>
    <row r="650" spans="3:15">
      <c r="C650" s="548">
        <f>IF(D631="","-",+C649+1)</f>
        <v>2029</v>
      </c>
      <c r="D650" s="506">
        <f t="shared" si="36"/>
        <v>33444995.333333313</v>
      </c>
      <c r="E650" s="549">
        <f t="shared" si="41"/>
        <v>1393541.4722222222</v>
      </c>
      <c r="F650" s="506">
        <f t="shared" si="37"/>
        <v>32051453.86111109</v>
      </c>
      <c r="G650" s="554">
        <f t="shared" si="38"/>
        <v>5006541.7663232507</v>
      </c>
      <c r="H650" s="555">
        <f t="shared" si="39"/>
        <v>5006541.7663232507</v>
      </c>
      <c r="I650" s="552">
        <f t="shared" si="40"/>
        <v>0</v>
      </c>
      <c r="J650" s="552"/>
      <c r="K650" s="572"/>
      <c r="L650" s="556"/>
      <c r="M650" s="572"/>
      <c r="N650" s="556"/>
      <c r="O650" s="556"/>
    </row>
    <row r="651" spans="3:15">
      <c r="C651" s="548">
        <f>IF(D631="","-",+C650+1)</f>
        <v>2030</v>
      </c>
      <c r="D651" s="506">
        <f t="shared" si="36"/>
        <v>32051453.86111109</v>
      </c>
      <c r="E651" s="549">
        <f t="shared" si="41"/>
        <v>1393541.4722222222</v>
      </c>
      <c r="F651" s="506">
        <f t="shared" si="37"/>
        <v>30657912.388888866</v>
      </c>
      <c r="G651" s="554">
        <f t="shared" si="38"/>
        <v>4852797.0729572484</v>
      </c>
      <c r="H651" s="555">
        <f t="shared" si="39"/>
        <v>4852797.0729572484</v>
      </c>
      <c r="I651" s="552">
        <f t="shared" si="40"/>
        <v>0</v>
      </c>
      <c r="J651" s="552"/>
      <c r="K651" s="572"/>
      <c r="L651" s="556"/>
      <c r="M651" s="572"/>
      <c r="N651" s="556"/>
      <c r="O651" s="556"/>
    </row>
    <row r="652" spans="3:15">
      <c r="C652" s="548">
        <f>IF(D631="","-",+C651+1)</f>
        <v>2031</v>
      </c>
      <c r="D652" s="506">
        <f t="shared" si="36"/>
        <v>30657912.388888866</v>
      </c>
      <c r="E652" s="549">
        <f t="shared" si="41"/>
        <v>1393541.4722222222</v>
      </c>
      <c r="F652" s="506">
        <f t="shared" si="37"/>
        <v>29264370.916666642</v>
      </c>
      <c r="G652" s="554">
        <f t="shared" si="38"/>
        <v>4699052.3795912471</v>
      </c>
      <c r="H652" s="555">
        <f t="shared" si="39"/>
        <v>4699052.3795912471</v>
      </c>
      <c r="I652" s="552">
        <f t="shared" si="40"/>
        <v>0</v>
      </c>
      <c r="J652" s="552"/>
      <c r="K652" s="572"/>
      <c r="L652" s="556"/>
      <c r="M652" s="572"/>
      <c r="N652" s="556"/>
      <c r="O652" s="556"/>
    </row>
    <row r="653" spans="3:15">
      <c r="C653" s="548">
        <f>IF(D631="","-",+C652+1)</f>
        <v>2032</v>
      </c>
      <c r="D653" s="506">
        <f t="shared" si="36"/>
        <v>29264370.916666642</v>
      </c>
      <c r="E653" s="549">
        <f t="shared" si="41"/>
        <v>1393541.4722222222</v>
      </c>
      <c r="F653" s="506">
        <f t="shared" si="37"/>
        <v>27870829.444444418</v>
      </c>
      <c r="G653" s="554">
        <f t="shared" si="38"/>
        <v>4545307.6862252457</v>
      </c>
      <c r="H653" s="555">
        <f t="shared" si="39"/>
        <v>4545307.6862252457</v>
      </c>
      <c r="I653" s="552">
        <f t="shared" si="40"/>
        <v>0</v>
      </c>
      <c r="J653" s="552"/>
      <c r="K653" s="572"/>
      <c r="L653" s="556"/>
      <c r="M653" s="572"/>
      <c r="N653" s="556"/>
      <c r="O653" s="556"/>
    </row>
    <row r="654" spans="3:15">
      <c r="C654" s="548">
        <f>IF(D631="","-",+C653+1)</f>
        <v>2033</v>
      </c>
      <c r="D654" s="506">
        <f t="shared" si="36"/>
        <v>27870829.444444418</v>
      </c>
      <c r="E654" s="549">
        <f t="shared" si="41"/>
        <v>1393541.4722222222</v>
      </c>
      <c r="F654" s="506">
        <f t="shared" si="37"/>
        <v>26477287.972222194</v>
      </c>
      <c r="G654" s="554">
        <f t="shared" si="38"/>
        <v>4391562.9928592443</v>
      </c>
      <c r="H654" s="555">
        <f t="shared" si="39"/>
        <v>4391562.9928592443</v>
      </c>
      <c r="I654" s="552">
        <f t="shared" si="40"/>
        <v>0</v>
      </c>
      <c r="J654" s="552"/>
      <c r="K654" s="572"/>
      <c r="L654" s="556"/>
      <c r="M654" s="572"/>
      <c r="N654" s="556"/>
      <c r="O654" s="556"/>
    </row>
    <row r="655" spans="3:15">
      <c r="C655" s="548">
        <f>IF(D631="","-",+C654+1)</f>
        <v>2034</v>
      </c>
      <c r="D655" s="506">
        <f t="shared" si="36"/>
        <v>26477287.972222194</v>
      </c>
      <c r="E655" s="549">
        <f t="shared" si="41"/>
        <v>1393541.4722222222</v>
      </c>
      <c r="F655" s="506">
        <f t="shared" si="37"/>
        <v>25083746.49999997</v>
      </c>
      <c r="G655" s="554">
        <f t="shared" si="38"/>
        <v>4237818.299493243</v>
      </c>
      <c r="H655" s="555">
        <f t="shared" si="39"/>
        <v>4237818.299493243</v>
      </c>
      <c r="I655" s="552">
        <f t="shared" si="40"/>
        <v>0</v>
      </c>
      <c r="J655" s="552"/>
      <c r="K655" s="572"/>
      <c r="L655" s="556"/>
      <c r="M655" s="572"/>
      <c r="N655" s="556"/>
      <c r="O655" s="556"/>
    </row>
    <row r="656" spans="3:15">
      <c r="C656" s="548">
        <f>IF(D631="","-",+C655+1)</f>
        <v>2035</v>
      </c>
      <c r="D656" s="506">
        <f t="shared" si="36"/>
        <v>25083746.49999997</v>
      </c>
      <c r="E656" s="549">
        <f t="shared" si="41"/>
        <v>1393541.4722222222</v>
      </c>
      <c r="F656" s="506">
        <f t="shared" si="37"/>
        <v>23690205.027777746</v>
      </c>
      <c r="G656" s="554">
        <f t="shared" si="38"/>
        <v>4084073.6061272416</v>
      </c>
      <c r="H656" s="555">
        <f t="shared" si="39"/>
        <v>4084073.6061272416</v>
      </c>
      <c r="I656" s="552">
        <f t="shared" si="40"/>
        <v>0</v>
      </c>
      <c r="J656" s="552"/>
      <c r="K656" s="572"/>
      <c r="L656" s="556"/>
      <c r="M656" s="572"/>
      <c r="N656" s="556"/>
      <c r="O656" s="556"/>
    </row>
    <row r="657" spans="3:15">
      <c r="C657" s="548">
        <f>IF(D631="","-",+C656+1)</f>
        <v>2036</v>
      </c>
      <c r="D657" s="506">
        <f t="shared" si="36"/>
        <v>23690205.027777746</v>
      </c>
      <c r="E657" s="549">
        <f t="shared" si="41"/>
        <v>1393541.4722222222</v>
      </c>
      <c r="F657" s="506">
        <f t="shared" si="37"/>
        <v>22296663.555555522</v>
      </c>
      <c r="G657" s="554">
        <f t="shared" si="38"/>
        <v>3930328.9127612403</v>
      </c>
      <c r="H657" s="555">
        <f t="shared" si="39"/>
        <v>3930328.9127612403</v>
      </c>
      <c r="I657" s="552">
        <f t="shared" si="40"/>
        <v>0</v>
      </c>
      <c r="J657" s="552"/>
      <c r="K657" s="572"/>
      <c r="L657" s="556"/>
      <c r="M657" s="572"/>
      <c r="N657" s="556"/>
      <c r="O657" s="556"/>
    </row>
    <row r="658" spans="3:15">
      <c r="C658" s="548">
        <f>IF(D631="","-",+C657+1)</f>
        <v>2037</v>
      </c>
      <c r="D658" s="506">
        <f t="shared" si="36"/>
        <v>22296663.555555522</v>
      </c>
      <c r="E658" s="549">
        <f t="shared" si="41"/>
        <v>1393541.4722222222</v>
      </c>
      <c r="F658" s="506">
        <f t="shared" si="37"/>
        <v>20903122.083333299</v>
      </c>
      <c r="G658" s="554">
        <f t="shared" si="38"/>
        <v>3776584.2193952389</v>
      </c>
      <c r="H658" s="555">
        <f t="shared" si="39"/>
        <v>3776584.2193952389</v>
      </c>
      <c r="I658" s="552">
        <f t="shared" si="40"/>
        <v>0</v>
      </c>
      <c r="J658" s="552"/>
      <c r="K658" s="572"/>
      <c r="L658" s="556"/>
      <c r="M658" s="572"/>
      <c r="N658" s="556"/>
      <c r="O658" s="556"/>
    </row>
    <row r="659" spans="3:15">
      <c r="C659" s="548">
        <f>IF(D631="","-",+C658+1)</f>
        <v>2038</v>
      </c>
      <c r="D659" s="506">
        <f t="shared" si="36"/>
        <v>20903122.083333299</v>
      </c>
      <c r="E659" s="549">
        <f t="shared" si="41"/>
        <v>1393541.4722222222</v>
      </c>
      <c r="F659" s="506">
        <f t="shared" si="37"/>
        <v>19509580.611111075</v>
      </c>
      <c r="G659" s="554">
        <f t="shared" si="38"/>
        <v>3622839.5260292366</v>
      </c>
      <c r="H659" s="555">
        <f t="shared" si="39"/>
        <v>3622839.5260292366</v>
      </c>
      <c r="I659" s="552">
        <f t="shared" si="40"/>
        <v>0</v>
      </c>
      <c r="J659" s="552"/>
      <c r="K659" s="572"/>
      <c r="L659" s="556"/>
      <c r="M659" s="572"/>
      <c r="N659" s="556"/>
      <c r="O659" s="556"/>
    </row>
    <row r="660" spans="3:15">
      <c r="C660" s="548">
        <f>IF(D631="","-",+C659+1)</f>
        <v>2039</v>
      </c>
      <c r="D660" s="506">
        <f t="shared" si="36"/>
        <v>19509580.611111075</v>
      </c>
      <c r="E660" s="549">
        <f t="shared" si="41"/>
        <v>1393541.4722222222</v>
      </c>
      <c r="F660" s="506">
        <f t="shared" si="37"/>
        <v>18116039.138888851</v>
      </c>
      <c r="G660" s="554">
        <f t="shared" si="38"/>
        <v>3469094.8326632353</v>
      </c>
      <c r="H660" s="555">
        <f t="shared" si="39"/>
        <v>3469094.8326632353</v>
      </c>
      <c r="I660" s="552">
        <f t="shared" si="40"/>
        <v>0</v>
      </c>
      <c r="J660" s="552"/>
      <c r="K660" s="572"/>
      <c r="L660" s="556"/>
      <c r="M660" s="572"/>
      <c r="N660" s="556"/>
      <c r="O660" s="556"/>
    </row>
    <row r="661" spans="3:15">
      <c r="C661" s="548">
        <f>IF(D631="","-",+C660+1)</f>
        <v>2040</v>
      </c>
      <c r="D661" s="506">
        <f t="shared" si="36"/>
        <v>18116039.138888851</v>
      </c>
      <c r="E661" s="549">
        <f t="shared" si="41"/>
        <v>1393541.4722222222</v>
      </c>
      <c r="F661" s="506">
        <f t="shared" si="37"/>
        <v>16722497.666666629</v>
      </c>
      <c r="G661" s="554">
        <f t="shared" si="38"/>
        <v>3315350.1392972339</v>
      </c>
      <c r="H661" s="555">
        <f t="shared" si="39"/>
        <v>3315350.1392972339</v>
      </c>
      <c r="I661" s="552">
        <f t="shared" si="40"/>
        <v>0</v>
      </c>
      <c r="J661" s="552"/>
      <c r="K661" s="572"/>
      <c r="L661" s="556"/>
      <c r="M661" s="572"/>
      <c r="N661" s="556"/>
      <c r="O661" s="556"/>
    </row>
    <row r="662" spans="3:15">
      <c r="C662" s="548">
        <f>IF(D631="","-",+C661+1)</f>
        <v>2041</v>
      </c>
      <c r="D662" s="506">
        <f t="shared" si="36"/>
        <v>16722497.666666629</v>
      </c>
      <c r="E662" s="549">
        <f t="shared" si="41"/>
        <v>1393541.4722222222</v>
      </c>
      <c r="F662" s="506">
        <f t="shared" si="37"/>
        <v>15328956.194444407</v>
      </c>
      <c r="G662" s="554">
        <f t="shared" si="38"/>
        <v>3161605.445931233</v>
      </c>
      <c r="H662" s="555">
        <f t="shared" si="39"/>
        <v>3161605.445931233</v>
      </c>
      <c r="I662" s="552">
        <f t="shared" si="40"/>
        <v>0</v>
      </c>
      <c r="J662" s="552"/>
      <c r="K662" s="572"/>
      <c r="L662" s="556"/>
      <c r="M662" s="572"/>
      <c r="N662" s="556"/>
      <c r="O662" s="556"/>
    </row>
    <row r="663" spans="3:15">
      <c r="C663" s="548">
        <f>IF(D631="","-",+C662+1)</f>
        <v>2042</v>
      </c>
      <c r="D663" s="506">
        <f t="shared" si="36"/>
        <v>15328956.194444407</v>
      </c>
      <c r="E663" s="549">
        <f t="shared" si="41"/>
        <v>1393541.4722222222</v>
      </c>
      <c r="F663" s="506">
        <f t="shared" si="37"/>
        <v>13935414.722222185</v>
      </c>
      <c r="G663" s="554">
        <f t="shared" si="38"/>
        <v>3007860.7525652316</v>
      </c>
      <c r="H663" s="555">
        <f t="shared" si="39"/>
        <v>3007860.7525652316</v>
      </c>
      <c r="I663" s="552">
        <f t="shared" si="40"/>
        <v>0</v>
      </c>
      <c r="J663" s="552"/>
      <c r="K663" s="572"/>
      <c r="L663" s="556"/>
      <c r="M663" s="572"/>
      <c r="N663" s="556"/>
      <c r="O663" s="556"/>
    </row>
    <row r="664" spans="3:15">
      <c r="C664" s="548">
        <f>IF(D631="","-",+C663+1)</f>
        <v>2043</v>
      </c>
      <c r="D664" s="506">
        <f t="shared" si="36"/>
        <v>13935414.722222185</v>
      </c>
      <c r="E664" s="549">
        <f t="shared" si="41"/>
        <v>1393541.4722222222</v>
      </c>
      <c r="F664" s="506">
        <f t="shared" si="37"/>
        <v>12541873.249999963</v>
      </c>
      <c r="G664" s="554">
        <f t="shared" si="38"/>
        <v>2854116.0591992307</v>
      </c>
      <c r="H664" s="555">
        <f t="shared" si="39"/>
        <v>2854116.0591992307</v>
      </c>
      <c r="I664" s="552">
        <f t="shared" si="40"/>
        <v>0</v>
      </c>
      <c r="J664" s="552"/>
      <c r="K664" s="572"/>
      <c r="L664" s="556"/>
      <c r="M664" s="572"/>
      <c r="N664" s="556"/>
      <c r="O664" s="556"/>
    </row>
    <row r="665" spans="3:15">
      <c r="C665" s="548">
        <f>IF(D631="","-",+C664+1)</f>
        <v>2044</v>
      </c>
      <c r="D665" s="506">
        <f t="shared" si="36"/>
        <v>12541873.249999963</v>
      </c>
      <c r="E665" s="549">
        <f t="shared" si="41"/>
        <v>1393541.4722222222</v>
      </c>
      <c r="F665" s="506">
        <f t="shared" si="37"/>
        <v>11148331.777777741</v>
      </c>
      <c r="G665" s="550">
        <f t="shared" si="38"/>
        <v>2700371.3658332294</v>
      </c>
      <c r="H665" s="555">
        <f t="shared" si="39"/>
        <v>2700371.3658332294</v>
      </c>
      <c r="I665" s="552">
        <f t="shared" si="40"/>
        <v>0</v>
      </c>
      <c r="J665" s="552"/>
      <c r="K665" s="572"/>
      <c r="L665" s="556"/>
      <c r="M665" s="572"/>
      <c r="N665" s="556"/>
      <c r="O665" s="556"/>
    </row>
    <row r="666" spans="3:15">
      <c r="C666" s="548">
        <f>IF(D631="","-",+C665+1)</f>
        <v>2045</v>
      </c>
      <c r="D666" s="506">
        <f t="shared" si="36"/>
        <v>11148331.777777741</v>
      </c>
      <c r="E666" s="549">
        <f t="shared" si="41"/>
        <v>1393541.4722222222</v>
      </c>
      <c r="F666" s="506">
        <f t="shared" si="37"/>
        <v>9754790.3055555187</v>
      </c>
      <c r="G666" s="554">
        <f t="shared" si="38"/>
        <v>2546626.672467228</v>
      </c>
      <c r="H666" s="555">
        <f t="shared" si="39"/>
        <v>2546626.672467228</v>
      </c>
      <c r="I666" s="552">
        <f t="shared" si="40"/>
        <v>0</v>
      </c>
      <c r="J666" s="552"/>
      <c r="K666" s="572"/>
      <c r="L666" s="556"/>
      <c r="M666" s="572"/>
      <c r="N666" s="556"/>
      <c r="O666" s="556"/>
    </row>
    <row r="667" spans="3:15">
      <c r="C667" s="548">
        <f>IF(D631="","-",+C666+1)</f>
        <v>2046</v>
      </c>
      <c r="D667" s="506">
        <f t="shared" si="36"/>
        <v>9754790.3055555187</v>
      </c>
      <c r="E667" s="549">
        <f t="shared" si="41"/>
        <v>1393541.4722222222</v>
      </c>
      <c r="F667" s="506">
        <f t="shared" si="37"/>
        <v>8361248.8333332967</v>
      </c>
      <c r="G667" s="554">
        <f t="shared" si="38"/>
        <v>2392881.9791012267</v>
      </c>
      <c r="H667" s="555">
        <f t="shared" si="39"/>
        <v>2392881.9791012267</v>
      </c>
      <c r="I667" s="552">
        <f t="shared" si="40"/>
        <v>0</v>
      </c>
      <c r="J667" s="552"/>
      <c r="K667" s="572"/>
      <c r="L667" s="556"/>
      <c r="M667" s="572"/>
      <c r="N667" s="556"/>
      <c r="O667" s="556"/>
    </row>
    <row r="668" spans="3:15">
      <c r="C668" s="548">
        <f>IF(D631="","-",+C667+1)</f>
        <v>2047</v>
      </c>
      <c r="D668" s="506">
        <f t="shared" si="36"/>
        <v>8361248.8333332967</v>
      </c>
      <c r="E668" s="549">
        <f t="shared" si="41"/>
        <v>1393541.4722222222</v>
      </c>
      <c r="F668" s="506">
        <f t="shared" si="37"/>
        <v>6967707.3611110747</v>
      </c>
      <c r="G668" s="554">
        <f t="shared" si="38"/>
        <v>2239137.2857352253</v>
      </c>
      <c r="H668" s="555">
        <f t="shared" si="39"/>
        <v>2239137.2857352253</v>
      </c>
      <c r="I668" s="552">
        <f t="shared" si="40"/>
        <v>0</v>
      </c>
      <c r="J668" s="552"/>
      <c r="K668" s="572"/>
      <c r="L668" s="556"/>
      <c r="M668" s="572"/>
      <c r="N668" s="556"/>
      <c r="O668" s="556"/>
    </row>
    <row r="669" spans="3:15">
      <c r="C669" s="548">
        <f>IF(D631="","-",+C668+1)</f>
        <v>2048</v>
      </c>
      <c r="D669" s="506">
        <f t="shared" si="36"/>
        <v>6967707.3611110747</v>
      </c>
      <c r="E669" s="549">
        <f t="shared" si="41"/>
        <v>1393541.4722222222</v>
      </c>
      <c r="F669" s="506">
        <f t="shared" si="37"/>
        <v>5574165.8888888527</v>
      </c>
      <c r="G669" s="554">
        <f t="shared" si="38"/>
        <v>2085392.5923692239</v>
      </c>
      <c r="H669" s="555">
        <f t="shared" si="39"/>
        <v>2085392.5923692239</v>
      </c>
      <c r="I669" s="552">
        <f t="shared" si="40"/>
        <v>0</v>
      </c>
      <c r="J669" s="552"/>
      <c r="K669" s="572"/>
      <c r="L669" s="556"/>
      <c r="M669" s="572"/>
      <c r="N669" s="556"/>
      <c r="O669" s="556"/>
    </row>
    <row r="670" spans="3:15">
      <c r="C670" s="548">
        <f>IF(D631="","-",+C669+1)</f>
        <v>2049</v>
      </c>
      <c r="D670" s="506">
        <f t="shared" si="36"/>
        <v>5574165.8888888527</v>
      </c>
      <c r="E670" s="549">
        <f t="shared" si="41"/>
        <v>1393541.4722222222</v>
      </c>
      <c r="F670" s="506">
        <f t="shared" si="37"/>
        <v>4180624.4166666307</v>
      </c>
      <c r="G670" s="554">
        <f t="shared" si="38"/>
        <v>1931647.8990032228</v>
      </c>
      <c r="H670" s="555">
        <f t="shared" si="39"/>
        <v>1931647.8990032228</v>
      </c>
      <c r="I670" s="552">
        <f t="shared" si="40"/>
        <v>0</v>
      </c>
      <c r="J670" s="552"/>
      <c r="K670" s="572"/>
      <c r="L670" s="556"/>
      <c r="M670" s="572"/>
      <c r="N670" s="556"/>
      <c r="O670" s="556"/>
    </row>
    <row r="671" spans="3:15">
      <c r="C671" s="548">
        <f>IF(D631="","-",+C670+1)</f>
        <v>2050</v>
      </c>
      <c r="D671" s="506">
        <f t="shared" si="36"/>
        <v>4180624.4166666307</v>
      </c>
      <c r="E671" s="549">
        <f t="shared" si="41"/>
        <v>1393541.4722222222</v>
      </c>
      <c r="F671" s="506">
        <f t="shared" si="37"/>
        <v>2787082.9444444086</v>
      </c>
      <c r="G671" s="554">
        <f t="shared" si="38"/>
        <v>1777903.2056372215</v>
      </c>
      <c r="H671" s="555">
        <f t="shared" si="39"/>
        <v>1777903.2056372215</v>
      </c>
      <c r="I671" s="552">
        <f t="shared" si="40"/>
        <v>0</v>
      </c>
      <c r="J671" s="552"/>
      <c r="K671" s="572"/>
      <c r="L671" s="556"/>
      <c r="M671" s="572"/>
      <c r="N671" s="556"/>
      <c r="O671" s="556"/>
    </row>
    <row r="672" spans="3:15">
      <c r="C672" s="548">
        <f>IF(D631="","-",+C671+1)</f>
        <v>2051</v>
      </c>
      <c r="D672" s="506">
        <f t="shared" si="36"/>
        <v>2787082.9444444086</v>
      </c>
      <c r="E672" s="549">
        <f t="shared" si="41"/>
        <v>1393541.4722222222</v>
      </c>
      <c r="F672" s="506">
        <f t="shared" si="37"/>
        <v>1393541.4722221864</v>
      </c>
      <c r="G672" s="554">
        <f t="shared" si="38"/>
        <v>1624158.5122712203</v>
      </c>
      <c r="H672" s="555">
        <f t="shared" si="39"/>
        <v>1624158.5122712203</v>
      </c>
      <c r="I672" s="552">
        <f t="shared" si="40"/>
        <v>0</v>
      </c>
      <c r="J672" s="552"/>
      <c r="K672" s="572"/>
      <c r="L672" s="556"/>
      <c r="M672" s="572"/>
      <c r="N672" s="556"/>
      <c r="O672" s="556"/>
    </row>
    <row r="673" spans="3:15">
      <c r="C673" s="548">
        <f>IF(D631="","-",+C672+1)</f>
        <v>2052</v>
      </c>
      <c r="D673" s="506">
        <f t="shared" si="36"/>
        <v>1393541.4722221864</v>
      </c>
      <c r="E673" s="549">
        <f t="shared" si="41"/>
        <v>1393541.4722221864</v>
      </c>
      <c r="F673" s="506">
        <f t="shared" si="37"/>
        <v>0</v>
      </c>
      <c r="G673" s="554">
        <f t="shared" si="38"/>
        <v>1470413.818905185</v>
      </c>
      <c r="H673" s="555">
        <f t="shared" si="39"/>
        <v>1470413.818905185</v>
      </c>
      <c r="I673" s="552">
        <f t="shared" si="40"/>
        <v>0</v>
      </c>
      <c r="J673" s="552"/>
      <c r="K673" s="572"/>
      <c r="L673" s="556"/>
      <c r="M673" s="572"/>
      <c r="N673" s="556"/>
      <c r="O673" s="556"/>
    </row>
    <row r="674" spans="3:15">
      <c r="C674" s="548">
        <f>IF(D631="","-",+C673+1)</f>
        <v>2053</v>
      </c>
      <c r="D674" s="506">
        <f t="shared" si="36"/>
        <v>0</v>
      </c>
      <c r="E674" s="549">
        <f t="shared" si="41"/>
        <v>0</v>
      </c>
      <c r="F674" s="506">
        <f t="shared" si="37"/>
        <v>0</v>
      </c>
      <c r="G674" s="554">
        <f t="shared" si="38"/>
        <v>0</v>
      </c>
      <c r="H674" s="555">
        <f t="shared" si="39"/>
        <v>0</v>
      </c>
      <c r="I674" s="552">
        <f t="shared" si="40"/>
        <v>0</v>
      </c>
      <c r="J674" s="552"/>
      <c r="K674" s="572"/>
      <c r="L674" s="556"/>
      <c r="M674" s="572"/>
      <c r="N674" s="556"/>
      <c r="O674" s="556"/>
    </row>
    <row r="675" spans="3:15">
      <c r="C675" s="548">
        <f>IF(D631="","-",+C674+1)</f>
        <v>2054</v>
      </c>
      <c r="D675" s="506">
        <f t="shared" si="36"/>
        <v>0</v>
      </c>
      <c r="E675" s="549">
        <f t="shared" si="41"/>
        <v>0</v>
      </c>
      <c r="F675" s="506">
        <f t="shared" si="37"/>
        <v>0</v>
      </c>
      <c r="G675" s="554">
        <f t="shared" si="38"/>
        <v>0</v>
      </c>
      <c r="H675" s="555">
        <f t="shared" si="39"/>
        <v>0</v>
      </c>
      <c r="I675" s="552">
        <f t="shared" si="40"/>
        <v>0</v>
      </c>
      <c r="J675" s="552"/>
      <c r="K675" s="572"/>
      <c r="L675" s="556"/>
      <c r="M675" s="572"/>
      <c r="N675" s="556"/>
      <c r="O675" s="556"/>
    </row>
    <row r="676" spans="3:15">
      <c r="C676" s="548">
        <f>IF(D631="","-",+C675+1)</f>
        <v>2055</v>
      </c>
      <c r="D676" s="506">
        <f t="shared" si="36"/>
        <v>0</v>
      </c>
      <c r="E676" s="549">
        <f t="shared" si="41"/>
        <v>0</v>
      </c>
      <c r="F676" s="506">
        <f t="shared" si="37"/>
        <v>0</v>
      </c>
      <c r="G676" s="554">
        <f t="shared" si="38"/>
        <v>0</v>
      </c>
      <c r="H676" s="555">
        <f t="shared" si="39"/>
        <v>0</v>
      </c>
      <c r="I676" s="552">
        <f t="shared" si="40"/>
        <v>0</v>
      </c>
      <c r="J676" s="552"/>
      <c r="K676" s="572"/>
      <c r="L676" s="556"/>
      <c r="M676" s="572"/>
      <c r="N676" s="556"/>
      <c r="O676" s="556"/>
    </row>
    <row r="677" spans="3:15">
      <c r="C677" s="548">
        <f>IF(D631="","-",+C676+1)</f>
        <v>2056</v>
      </c>
      <c r="D677" s="506">
        <f t="shared" si="36"/>
        <v>0</v>
      </c>
      <c r="E677" s="549">
        <f t="shared" si="41"/>
        <v>0</v>
      </c>
      <c r="F677" s="506">
        <f t="shared" si="37"/>
        <v>0</v>
      </c>
      <c r="G677" s="554">
        <f t="shared" si="38"/>
        <v>0</v>
      </c>
      <c r="H677" s="555">
        <f t="shared" si="39"/>
        <v>0</v>
      </c>
      <c r="I677" s="552">
        <f t="shared" si="40"/>
        <v>0</v>
      </c>
      <c r="J677" s="552"/>
      <c r="K677" s="572"/>
      <c r="L677" s="556"/>
      <c r="M677" s="572"/>
      <c r="N677" s="556"/>
      <c r="O677" s="556"/>
    </row>
    <row r="678" spans="3:15">
      <c r="C678" s="548">
        <f>IF(D631="","-",+C677+1)</f>
        <v>2057</v>
      </c>
      <c r="D678" s="506">
        <f t="shared" si="36"/>
        <v>0</v>
      </c>
      <c r="E678" s="549">
        <f t="shared" si="41"/>
        <v>0</v>
      </c>
      <c r="F678" s="506">
        <f t="shared" si="37"/>
        <v>0</v>
      </c>
      <c r="G678" s="554">
        <f t="shared" si="38"/>
        <v>0</v>
      </c>
      <c r="H678" s="555">
        <f t="shared" si="39"/>
        <v>0</v>
      </c>
      <c r="I678" s="552">
        <f t="shared" si="40"/>
        <v>0</v>
      </c>
      <c r="J678" s="552"/>
      <c r="K678" s="572"/>
      <c r="L678" s="556"/>
      <c r="M678" s="572"/>
      <c r="N678" s="556"/>
      <c r="O678" s="556"/>
    </row>
    <row r="679" spans="3:15">
      <c r="C679" s="548">
        <f>IF(D631="","-",+C678+1)</f>
        <v>2058</v>
      </c>
      <c r="D679" s="506">
        <f t="shared" si="36"/>
        <v>0</v>
      </c>
      <c r="E679" s="549">
        <f t="shared" si="41"/>
        <v>0</v>
      </c>
      <c r="F679" s="506">
        <f t="shared" si="37"/>
        <v>0</v>
      </c>
      <c r="G679" s="554">
        <f t="shared" si="38"/>
        <v>0</v>
      </c>
      <c r="H679" s="555">
        <f t="shared" si="39"/>
        <v>0</v>
      </c>
      <c r="I679" s="552">
        <f t="shared" si="40"/>
        <v>0</v>
      </c>
      <c r="J679" s="552"/>
      <c r="K679" s="572"/>
      <c r="L679" s="556"/>
      <c r="M679" s="572"/>
      <c r="N679" s="556"/>
      <c r="O679" s="556"/>
    </row>
    <row r="680" spans="3:15">
      <c r="C680" s="548">
        <f>IF(D631="","-",+C679+1)</f>
        <v>2059</v>
      </c>
      <c r="D680" s="506">
        <f t="shared" si="36"/>
        <v>0</v>
      </c>
      <c r="E680" s="549">
        <f t="shared" si="41"/>
        <v>0</v>
      </c>
      <c r="F680" s="506">
        <f t="shared" si="37"/>
        <v>0</v>
      </c>
      <c r="G680" s="554">
        <f t="shared" si="38"/>
        <v>0</v>
      </c>
      <c r="H680" s="555">
        <f t="shared" si="39"/>
        <v>0</v>
      </c>
      <c r="I680" s="552">
        <f t="shared" si="40"/>
        <v>0</v>
      </c>
      <c r="J680" s="552"/>
      <c r="K680" s="572"/>
      <c r="L680" s="556"/>
      <c r="M680" s="572"/>
      <c r="N680" s="556"/>
      <c r="O680" s="556"/>
    </row>
    <row r="681" spans="3:15">
      <c r="C681" s="548">
        <f>IF(D631="","-",+C680+1)</f>
        <v>2060</v>
      </c>
      <c r="D681" s="506">
        <f t="shared" si="36"/>
        <v>0</v>
      </c>
      <c r="E681" s="549">
        <f t="shared" si="41"/>
        <v>0</v>
      </c>
      <c r="F681" s="506">
        <f t="shared" si="37"/>
        <v>0</v>
      </c>
      <c r="G681" s="554">
        <f t="shared" si="38"/>
        <v>0</v>
      </c>
      <c r="H681" s="555">
        <f t="shared" si="39"/>
        <v>0</v>
      </c>
      <c r="I681" s="552">
        <f t="shared" si="40"/>
        <v>0</v>
      </c>
      <c r="J681" s="552"/>
      <c r="K681" s="572"/>
      <c r="L681" s="556"/>
      <c r="M681" s="572"/>
      <c r="N681" s="556"/>
      <c r="O681" s="556"/>
    </row>
    <row r="682" spans="3:15">
      <c r="C682" s="548">
        <f>IF(D631="","-",+C681+1)</f>
        <v>2061</v>
      </c>
      <c r="D682" s="506">
        <f t="shared" si="36"/>
        <v>0</v>
      </c>
      <c r="E682" s="549">
        <f t="shared" si="41"/>
        <v>0</v>
      </c>
      <c r="F682" s="506">
        <f t="shared" si="37"/>
        <v>0</v>
      </c>
      <c r="G682" s="554">
        <f t="shared" si="38"/>
        <v>0</v>
      </c>
      <c r="H682" s="555">
        <f t="shared" si="39"/>
        <v>0</v>
      </c>
      <c r="I682" s="552">
        <f t="shared" si="40"/>
        <v>0</v>
      </c>
      <c r="J682" s="552"/>
      <c r="K682" s="572"/>
      <c r="L682" s="556"/>
      <c r="M682" s="572"/>
      <c r="N682" s="556"/>
      <c r="O682" s="556"/>
    </row>
    <row r="683" spans="3:15">
      <c r="C683" s="548">
        <f>IF(D631="","-",+C682+1)</f>
        <v>2062</v>
      </c>
      <c r="D683" s="506">
        <f t="shared" si="36"/>
        <v>0</v>
      </c>
      <c r="E683" s="549">
        <f t="shared" si="41"/>
        <v>0</v>
      </c>
      <c r="F683" s="506">
        <f t="shared" si="37"/>
        <v>0</v>
      </c>
      <c r="G683" s="554">
        <f t="shared" si="38"/>
        <v>0</v>
      </c>
      <c r="H683" s="555">
        <f t="shared" si="39"/>
        <v>0</v>
      </c>
      <c r="I683" s="552">
        <f t="shared" si="40"/>
        <v>0</v>
      </c>
      <c r="J683" s="552"/>
      <c r="K683" s="572"/>
      <c r="L683" s="556"/>
      <c r="M683" s="572"/>
      <c r="N683" s="556"/>
      <c r="O683" s="556"/>
    </row>
    <row r="684" spans="3:15">
      <c r="C684" s="548">
        <f>IF(D631="","-",+C683+1)</f>
        <v>2063</v>
      </c>
      <c r="D684" s="506">
        <f t="shared" si="36"/>
        <v>0</v>
      </c>
      <c r="E684" s="549">
        <f t="shared" si="41"/>
        <v>0</v>
      </c>
      <c r="F684" s="506">
        <f t="shared" si="37"/>
        <v>0</v>
      </c>
      <c r="G684" s="554">
        <f t="shared" si="38"/>
        <v>0</v>
      </c>
      <c r="H684" s="555">
        <f t="shared" si="39"/>
        <v>0</v>
      </c>
      <c r="I684" s="552">
        <f t="shared" si="40"/>
        <v>0</v>
      </c>
      <c r="J684" s="552"/>
      <c r="K684" s="572"/>
      <c r="L684" s="556"/>
      <c r="M684" s="572"/>
      <c r="N684" s="556"/>
      <c r="O684" s="556"/>
    </row>
    <row r="685" spans="3:15">
      <c r="C685" s="548">
        <f>IF(D631="","-",+C684+1)</f>
        <v>2064</v>
      </c>
      <c r="D685" s="506">
        <f t="shared" si="36"/>
        <v>0</v>
      </c>
      <c r="E685" s="549">
        <f t="shared" si="41"/>
        <v>0</v>
      </c>
      <c r="F685" s="506">
        <f t="shared" si="37"/>
        <v>0</v>
      </c>
      <c r="G685" s="554">
        <f t="shared" si="38"/>
        <v>0</v>
      </c>
      <c r="H685" s="555">
        <f t="shared" si="39"/>
        <v>0</v>
      </c>
      <c r="I685" s="552">
        <f t="shared" si="40"/>
        <v>0</v>
      </c>
      <c r="J685" s="552"/>
      <c r="K685" s="572"/>
      <c r="L685" s="556"/>
      <c r="M685" s="572"/>
      <c r="N685" s="556"/>
      <c r="O685" s="556"/>
    </row>
    <row r="686" spans="3:15">
      <c r="C686" s="548">
        <f>IF(D631="","-",+C685+1)</f>
        <v>2065</v>
      </c>
      <c r="D686" s="506">
        <f t="shared" si="36"/>
        <v>0</v>
      </c>
      <c r="E686" s="549">
        <f t="shared" si="41"/>
        <v>0</v>
      </c>
      <c r="F686" s="506">
        <f t="shared" si="37"/>
        <v>0</v>
      </c>
      <c r="G686" s="554">
        <f t="shared" si="38"/>
        <v>0</v>
      </c>
      <c r="H686" s="555">
        <f t="shared" si="39"/>
        <v>0</v>
      </c>
      <c r="I686" s="552">
        <f t="shared" si="40"/>
        <v>0</v>
      </c>
      <c r="J686" s="552"/>
      <c r="K686" s="572"/>
      <c r="L686" s="556"/>
      <c r="M686" s="572"/>
      <c r="N686" s="556"/>
      <c r="O686" s="556"/>
    </row>
    <row r="687" spans="3:15">
      <c r="C687" s="548">
        <f>IF(D631="","-",+C686+1)</f>
        <v>2066</v>
      </c>
      <c r="D687" s="506">
        <f t="shared" si="36"/>
        <v>0</v>
      </c>
      <c r="E687" s="549">
        <f t="shared" si="41"/>
        <v>0</v>
      </c>
      <c r="F687" s="506">
        <f t="shared" si="37"/>
        <v>0</v>
      </c>
      <c r="G687" s="554">
        <f t="shared" si="38"/>
        <v>0</v>
      </c>
      <c r="H687" s="555">
        <f t="shared" si="39"/>
        <v>0</v>
      </c>
      <c r="I687" s="552">
        <f t="shared" si="40"/>
        <v>0</v>
      </c>
      <c r="J687" s="552"/>
      <c r="K687" s="572"/>
      <c r="L687" s="556"/>
      <c r="M687" s="572"/>
      <c r="N687" s="556"/>
      <c r="O687" s="556"/>
    </row>
    <row r="688" spans="3:15">
      <c r="C688" s="548">
        <f>IF(D631="","-",+C687+1)</f>
        <v>2067</v>
      </c>
      <c r="D688" s="506">
        <f t="shared" si="36"/>
        <v>0</v>
      </c>
      <c r="E688" s="549">
        <f t="shared" si="41"/>
        <v>0</v>
      </c>
      <c r="F688" s="506">
        <f t="shared" si="37"/>
        <v>0</v>
      </c>
      <c r="G688" s="554">
        <f t="shared" si="38"/>
        <v>0</v>
      </c>
      <c r="H688" s="555">
        <f t="shared" si="39"/>
        <v>0</v>
      </c>
      <c r="I688" s="552">
        <f t="shared" si="40"/>
        <v>0</v>
      </c>
      <c r="J688" s="552"/>
      <c r="K688" s="572"/>
      <c r="L688" s="556"/>
      <c r="M688" s="572"/>
      <c r="N688" s="556"/>
      <c r="O688" s="556"/>
    </row>
    <row r="689" spans="3:15">
      <c r="C689" s="548">
        <f>IF(D631="","-",+C688+1)</f>
        <v>2068</v>
      </c>
      <c r="D689" s="506">
        <f t="shared" si="36"/>
        <v>0</v>
      </c>
      <c r="E689" s="549">
        <f t="shared" si="41"/>
        <v>0</v>
      </c>
      <c r="F689" s="506">
        <f t="shared" si="37"/>
        <v>0</v>
      </c>
      <c r="G689" s="554">
        <f t="shared" si="38"/>
        <v>0</v>
      </c>
      <c r="H689" s="555">
        <f t="shared" si="39"/>
        <v>0</v>
      </c>
      <c r="I689" s="552">
        <f t="shared" si="40"/>
        <v>0</v>
      </c>
      <c r="J689" s="552"/>
      <c r="K689" s="572"/>
      <c r="L689" s="556"/>
      <c r="M689" s="572"/>
      <c r="N689" s="556"/>
      <c r="O689" s="556"/>
    </row>
    <row r="690" spans="3:15">
      <c r="C690" s="548">
        <f>IF(D631="","-",+C689+1)</f>
        <v>2069</v>
      </c>
      <c r="D690" s="506">
        <f t="shared" si="36"/>
        <v>0</v>
      </c>
      <c r="E690" s="549">
        <f t="shared" si="41"/>
        <v>0</v>
      </c>
      <c r="F690" s="506">
        <f t="shared" si="37"/>
        <v>0</v>
      </c>
      <c r="G690" s="554">
        <f t="shared" si="38"/>
        <v>0</v>
      </c>
      <c r="H690" s="555">
        <f t="shared" si="39"/>
        <v>0</v>
      </c>
      <c r="I690" s="552">
        <f t="shared" si="40"/>
        <v>0</v>
      </c>
      <c r="J690" s="552"/>
      <c r="K690" s="572"/>
      <c r="L690" s="556"/>
      <c r="M690" s="572"/>
      <c r="N690" s="556"/>
      <c r="O690" s="556"/>
    </row>
    <row r="691" spans="3:15">
      <c r="C691" s="548">
        <f>IF(D631="","-",+C690+1)</f>
        <v>2070</v>
      </c>
      <c r="D691" s="506">
        <f t="shared" si="36"/>
        <v>0</v>
      </c>
      <c r="E691" s="549">
        <f t="shared" si="41"/>
        <v>0</v>
      </c>
      <c r="F691" s="506">
        <f t="shared" si="37"/>
        <v>0</v>
      </c>
      <c r="G691" s="554">
        <f t="shared" si="38"/>
        <v>0</v>
      </c>
      <c r="H691" s="555">
        <f t="shared" si="39"/>
        <v>0</v>
      </c>
      <c r="I691" s="552">
        <f t="shared" si="40"/>
        <v>0</v>
      </c>
      <c r="J691" s="552"/>
      <c r="K691" s="572"/>
      <c r="L691" s="556"/>
      <c r="M691" s="572"/>
      <c r="N691" s="556"/>
      <c r="O691" s="556"/>
    </row>
    <row r="692" spans="3:15">
      <c r="C692" s="548">
        <f>IF(D631="","-",+C691+1)</f>
        <v>2071</v>
      </c>
      <c r="D692" s="506">
        <f t="shared" si="36"/>
        <v>0</v>
      </c>
      <c r="E692" s="549">
        <f t="shared" si="41"/>
        <v>0</v>
      </c>
      <c r="F692" s="506">
        <f t="shared" si="37"/>
        <v>0</v>
      </c>
      <c r="G692" s="554">
        <f t="shared" si="38"/>
        <v>0</v>
      </c>
      <c r="H692" s="555">
        <f t="shared" si="39"/>
        <v>0</v>
      </c>
      <c r="I692" s="552">
        <f t="shared" si="40"/>
        <v>0</v>
      </c>
      <c r="J692" s="552"/>
      <c r="K692" s="572"/>
      <c r="L692" s="556"/>
      <c r="M692" s="572"/>
      <c r="N692" s="556"/>
      <c r="O692" s="556"/>
    </row>
    <row r="693" spans="3:15">
      <c r="C693" s="548">
        <f>IF(D631="","-",+C692+1)</f>
        <v>2072</v>
      </c>
      <c r="D693" s="506">
        <f t="shared" si="36"/>
        <v>0</v>
      </c>
      <c r="E693" s="549">
        <f t="shared" si="41"/>
        <v>0</v>
      </c>
      <c r="F693" s="506">
        <f t="shared" si="37"/>
        <v>0</v>
      </c>
      <c r="G693" s="554">
        <f t="shared" si="38"/>
        <v>0</v>
      </c>
      <c r="H693" s="555">
        <f t="shared" si="39"/>
        <v>0</v>
      </c>
      <c r="I693" s="552">
        <f t="shared" si="40"/>
        <v>0</v>
      </c>
      <c r="J693" s="552"/>
      <c r="K693" s="572"/>
      <c r="L693" s="556"/>
      <c r="M693" s="572"/>
      <c r="N693" s="556"/>
      <c r="O693" s="556"/>
    </row>
    <row r="694" spans="3:15">
      <c r="C694" s="548">
        <f>IF(D631="","-",+C693+1)</f>
        <v>2073</v>
      </c>
      <c r="D694" s="506">
        <f t="shared" si="36"/>
        <v>0</v>
      </c>
      <c r="E694" s="549">
        <f t="shared" si="41"/>
        <v>0</v>
      </c>
      <c r="F694" s="506">
        <f t="shared" si="37"/>
        <v>0</v>
      </c>
      <c r="G694" s="554">
        <f t="shared" si="38"/>
        <v>0</v>
      </c>
      <c r="H694" s="555">
        <f t="shared" si="39"/>
        <v>0</v>
      </c>
      <c r="I694" s="552">
        <f t="shared" si="40"/>
        <v>0</v>
      </c>
      <c r="J694" s="552"/>
      <c r="K694" s="572"/>
      <c r="L694" s="556"/>
      <c r="M694" s="572"/>
      <c r="N694" s="556"/>
      <c r="O694" s="556"/>
    </row>
    <row r="695" spans="3:15">
      <c r="C695" s="548">
        <f>IF(D631="","-",+C694+1)</f>
        <v>2074</v>
      </c>
      <c r="D695" s="506">
        <f t="shared" si="36"/>
        <v>0</v>
      </c>
      <c r="E695" s="549">
        <f t="shared" si="41"/>
        <v>0</v>
      </c>
      <c r="F695" s="506">
        <f t="shared" si="37"/>
        <v>0</v>
      </c>
      <c r="G695" s="554">
        <f t="shared" si="38"/>
        <v>0</v>
      </c>
      <c r="H695" s="555">
        <f t="shared" si="39"/>
        <v>0</v>
      </c>
      <c r="I695" s="552">
        <f t="shared" si="40"/>
        <v>0</v>
      </c>
      <c r="J695" s="552"/>
      <c r="K695" s="572"/>
      <c r="L695" s="556"/>
      <c r="M695" s="572"/>
      <c r="N695" s="556"/>
      <c r="O695" s="556"/>
    </row>
    <row r="696" spans="3:15" ht="13.5" thickBot="1">
      <c r="C696" s="558">
        <f>IF(D631="","-",+C695+1)</f>
        <v>2075</v>
      </c>
      <c r="D696" s="559">
        <f t="shared" si="36"/>
        <v>0</v>
      </c>
      <c r="E696" s="560">
        <f t="shared" si="41"/>
        <v>0</v>
      </c>
      <c r="F696" s="559">
        <f t="shared" si="37"/>
        <v>0</v>
      </c>
      <c r="G696" s="561">
        <f t="shared" si="38"/>
        <v>0</v>
      </c>
      <c r="H696" s="561">
        <f t="shared" si="39"/>
        <v>0</v>
      </c>
      <c r="I696" s="562">
        <f t="shared" si="40"/>
        <v>0</v>
      </c>
      <c r="J696" s="552"/>
      <c r="K696" s="573"/>
      <c r="L696" s="563"/>
      <c r="M696" s="573"/>
      <c r="N696" s="563"/>
      <c r="O696" s="563"/>
    </row>
    <row r="697" spans="3:15">
      <c r="C697" s="506" t="s">
        <v>91</v>
      </c>
      <c r="D697" s="503"/>
      <c r="E697" s="503">
        <f>SUM(E637:E696)</f>
        <v>50167493</v>
      </c>
      <c r="F697" s="503"/>
      <c r="G697" s="503">
        <f>SUM(G637:G696)</f>
        <v>155328863.26234475</v>
      </c>
      <c r="H697" s="503">
        <f>SUM(H637:H696)</f>
        <v>155328863.26234475</v>
      </c>
      <c r="I697" s="503">
        <f>SUM(I637:I696)</f>
        <v>0</v>
      </c>
      <c r="J697" s="503"/>
      <c r="K697" s="503"/>
      <c r="L697" s="503"/>
      <c r="M697" s="503"/>
      <c r="N697" s="503"/>
      <c r="O697" s="3"/>
    </row>
    <row r="698" spans="3:15">
      <c r="D698" s="47"/>
      <c r="E698" s="3"/>
      <c r="F698" s="3"/>
      <c r="G698" s="3"/>
      <c r="H698" s="490"/>
      <c r="I698" s="490"/>
      <c r="J698" s="503"/>
      <c r="K698" s="490"/>
      <c r="L698" s="490"/>
      <c r="M698" s="490"/>
      <c r="N698" s="490"/>
      <c r="O698" s="3"/>
    </row>
    <row r="699" spans="3:15">
      <c r="C699" s="3" t="s">
        <v>13</v>
      </c>
      <c r="D699" s="47"/>
      <c r="E699" s="3"/>
      <c r="F699" s="3"/>
      <c r="G699" s="3"/>
      <c r="H699" s="490"/>
      <c r="I699" s="490"/>
      <c r="J699" s="503"/>
      <c r="K699" s="490"/>
      <c r="L699" s="490"/>
      <c r="M699" s="490"/>
      <c r="N699" s="490"/>
      <c r="O699" s="3"/>
    </row>
    <row r="700" spans="3:15">
      <c r="C700" s="3"/>
      <c r="D700" s="47"/>
      <c r="E700" s="3"/>
      <c r="F700" s="3"/>
      <c r="G700" s="3"/>
      <c r="H700" s="490"/>
      <c r="I700" s="490"/>
      <c r="J700" s="503"/>
      <c r="K700" s="490"/>
      <c r="L700" s="490"/>
      <c r="M700" s="490"/>
      <c r="N700" s="490"/>
      <c r="O700" s="3"/>
    </row>
    <row r="701" spans="3:15">
      <c r="C701" s="518" t="s">
        <v>14</v>
      </c>
      <c r="D701" s="506"/>
      <c r="E701" s="506"/>
      <c r="F701" s="506"/>
      <c r="G701" s="503"/>
      <c r="H701" s="503"/>
      <c r="I701" s="564"/>
      <c r="J701" s="564"/>
      <c r="K701" s="564"/>
      <c r="L701" s="564"/>
      <c r="M701" s="564"/>
      <c r="N701" s="564"/>
      <c r="O701" s="3"/>
    </row>
    <row r="702" spans="3:15">
      <c r="C702" s="507" t="s">
        <v>271</v>
      </c>
      <c r="D702" s="506"/>
      <c r="E702" s="506"/>
      <c r="F702" s="506"/>
      <c r="G702" s="503"/>
      <c r="H702" s="503"/>
      <c r="I702" s="564"/>
      <c r="J702" s="564"/>
      <c r="K702" s="564"/>
      <c r="L702" s="564"/>
      <c r="M702" s="564"/>
      <c r="N702" s="564"/>
      <c r="O702" s="3"/>
    </row>
    <row r="703" spans="3:15">
      <c r="C703" s="507" t="s">
        <v>92</v>
      </c>
      <c r="D703" s="506"/>
      <c r="E703" s="506"/>
      <c r="F703" s="506"/>
      <c r="G703" s="503"/>
      <c r="H703" s="503"/>
      <c r="I703" s="564"/>
      <c r="J703" s="564"/>
      <c r="K703" s="564"/>
      <c r="L703" s="564"/>
      <c r="M703" s="564"/>
      <c r="N703" s="564"/>
      <c r="O703" s="3"/>
    </row>
    <row r="704" spans="3:15">
      <c r="C704" s="507"/>
      <c r="D704" s="506"/>
      <c r="E704" s="506"/>
      <c r="F704" s="506"/>
      <c r="G704" s="503"/>
      <c r="H704" s="503"/>
      <c r="I704" s="564"/>
      <c r="J704" s="564"/>
      <c r="K704" s="564"/>
      <c r="L704" s="564"/>
      <c r="M704" s="564"/>
      <c r="N704" s="564"/>
      <c r="O704" s="3"/>
    </row>
    <row r="705" spans="1:16">
      <c r="C705" s="1209" t="s">
        <v>6</v>
      </c>
      <c r="D705" s="1209"/>
      <c r="E705" s="1209"/>
      <c r="F705" s="1209"/>
      <c r="G705" s="1209"/>
      <c r="H705" s="1209"/>
      <c r="I705" s="1209"/>
      <c r="J705" s="1209"/>
      <c r="K705" s="1209"/>
      <c r="L705" s="1209"/>
      <c r="M705" s="1209"/>
      <c r="N705" s="1209"/>
      <c r="O705" s="1209"/>
    </row>
    <row r="706" spans="1:16">
      <c r="C706" s="1209"/>
      <c r="D706" s="1209"/>
      <c r="E706" s="1209"/>
      <c r="F706" s="1209"/>
      <c r="G706" s="1209"/>
      <c r="H706" s="1209"/>
      <c r="I706" s="1209"/>
      <c r="J706" s="1209"/>
      <c r="K706" s="1209"/>
      <c r="L706" s="1209"/>
      <c r="M706" s="1209"/>
      <c r="N706" s="1209"/>
      <c r="O706" s="1209"/>
    </row>
    <row r="707" spans="1:16" ht="20.25">
      <c r="A707" s="447" t="str">
        <f>""&amp;A631&amp;" Worksheet J -  ATRR PROJECTED Calculation for PJM Projects Charged to Benefiting Zones"</f>
        <v xml:space="preserve"> Worksheet J -  ATRR PROJECTED Calculation for PJM Projects Charged to Benefiting Zones</v>
      </c>
      <c r="B707" s="3"/>
      <c r="C707" s="3"/>
      <c r="D707" s="47"/>
      <c r="E707" s="3"/>
      <c r="F707" s="489"/>
      <c r="G707" s="3"/>
      <c r="H707" s="490"/>
      <c r="K707" s="398"/>
      <c r="L707" s="398"/>
      <c r="M707" s="398"/>
      <c r="N707" s="398" t="str">
        <f>"Page "&amp;SUM(P$8:P707)&amp;" of "</f>
        <v xml:space="preserve">Page 9 of </v>
      </c>
      <c r="O707" s="448">
        <f>COUNT(P$8:P$56656)</f>
        <v>11</v>
      </c>
      <c r="P707">
        <v>1</v>
      </c>
    </row>
    <row r="708" spans="1:16" ht="20.25">
      <c r="A708" s="447"/>
      <c r="B708" s="3"/>
      <c r="C708" s="3"/>
      <c r="D708" s="47"/>
      <c r="E708" s="3"/>
      <c r="F708" s="489"/>
      <c r="G708" s="3"/>
      <c r="H708" s="490"/>
      <c r="K708" s="398"/>
      <c r="L708" s="398"/>
      <c r="M708" s="398"/>
      <c r="N708" s="398"/>
      <c r="O708" s="448"/>
    </row>
    <row r="709" spans="1:16" ht="18">
      <c r="B709" s="449" t="s">
        <v>472</v>
      </c>
      <c r="C709" s="122" t="s">
        <v>93</v>
      </c>
      <c r="D709" s="47"/>
      <c r="E709" s="3"/>
      <c r="F709" s="3"/>
      <c r="G709" s="3"/>
      <c r="H709" s="490"/>
      <c r="I709" s="490"/>
      <c r="J709" s="503"/>
      <c r="K709" s="490"/>
      <c r="L709" s="490"/>
      <c r="M709" s="490"/>
      <c r="N709" s="490"/>
      <c r="O709" s="3"/>
    </row>
    <row r="710" spans="1:16" ht="18.75">
      <c r="B710" s="449"/>
      <c r="C710" s="6"/>
      <c r="D710" s="47"/>
      <c r="E710" s="3"/>
      <c r="F710" s="3"/>
      <c r="G710" s="3"/>
      <c r="H710" s="490"/>
      <c r="I710" s="490"/>
      <c r="J710" s="503"/>
      <c r="K710" s="490"/>
      <c r="L710" s="490"/>
      <c r="M710" s="490"/>
      <c r="N710" s="490"/>
      <c r="O710" s="3"/>
    </row>
    <row r="711" spans="1:16" ht="18.75">
      <c r="B711" s="449"/>
      <c r="C711" s="6" t="s">
        <v>94</v>
      </c>
      <c r="D711" s="47"/>
      <c r="E711" s="3"/>
      <c r="F711" s="3"/>
      <c r="G711" s="3"/>
      <c r="H711" s="490"/>
      <c r="I711" s="490"/>
      <c r="J711" s="503"/>
      <c r="K711" s="490"/>
      <c r="L711" s="490"/>
      <c r="M711" s="490"/>
      <c r="N711" s="490"/>
      <c r="O711" s="3"/>
    </row>
    <row r="712" spans="1:16" ht="15.75" thickBot="1">
      <c r="C712" s="132"/>
      <c r="D712" s="47"/>
      <c r="E712" s="3"/>
      <c r="F712" s="3"/>
      <c r="G712" s="3"/>
      <c r="H712" s="490"/>
      <c r="I712" s="490"/>
      <c r="J712" s="503"/>
      <c r="K712" s="490"/>
      <c r="L712" s="490"/>
      <c r="M712" s="490"/>
      <c r="N712" s="490"/>
      <c r="O712" s="3"/>
    </row>
    <row r="713" spans="1:16" ht="15.75">
      <c r="C713" s="451" t="s">
        <v>95</v>
      </c>
      <c r="D713" s="47"/>
      <c r="E713" s="3"/>
      <c r="F713" s="3"/>
      <c r="G713" s="566"/>
      <c r="H713" s="3" t="s">
        <v>74</v>
      </c>
      <c r="I713" s="3"/>
      <c r="J713" s="3"/>
      <c r="K713" s="509" t="s">
        <v>99</v>
      </c>
      <c r="L713" s="510"/>
      <c r="M713" s="511"/>
      <c r="N713" s="512">
        <f>IF(I719=0,0,VLOOKUP(I719,C726:O785,5))</f>
        <v>6989960.0212689051</v>
      </c>
      <c r="O713" s="3"/>
    </row>
    <row r="714" spans="1:16" ht="15.75">
      <c r="C714" s="451"/>
      <c r="D714" s="47"/>
      <c r="E714" s="3"/>
      <c r="F714" s="3"/>
      <c r="G714" s="3"/>
      <c r="H714" s="513"/>
      <c r="I714" s="513"/>
      <c r="J714" s="514"/>
      <c r="K714" s="515" t="s">
        <v>100</v>
      </c>
      <c r="L714" s="516"/>
      <c r="M714" s="3"/>
      <c r="N714" s="517">
        <f>IF(I719=0,0,VLOOKUP(I719,C726:O785,6))</f>
        <v>6989960.0212689051</v>
      </c>
      <c r="O714" s="3"/>
    </row>
    <row r="715" spans="1:16" ht="13.5" thickBot="1">
      <c r="C715" s="518" t="s">
        <v>96</v>
      </c>
      <c r="D715" s="1210" t="s">
        <v>822</v>
      </c>
      <c r="E715" s="1210"/>
      <c r="F715" s="1210"/>
      <c r="G715" s="1210"/>
      <c r="H715" s="1210"/>
      <c r="I715" s="1210"/>
      <c r="J715" s="503"/>
      <c r="K715" s="519" t="s">
        <v>238</v>
      </c>
      <c r="L715" s="520"/>
      <c r="M715" s="520"/>
      <c r="N715" s="521">
        <f>+N714-N713</f>
        <v>0</v>
      </c>
      <c r="O715" s="3"/>
    </row>
    <row r="716" spans="1:16">
      <c r="C716" s="522"/>
      <c r="D716" s="1210"/>
      <c r="E716" s="1210"/>
      <c r="F716" s="1210"/>
      <c r="G716" s="1210"/>
      <c r="H716" s="1210"/>
      <c r="I716" s="1210"/>
      <c r="J716" s="503"/>
      <c r="K716" s="490"/>
      <c r="L716" s="490"/>
      <c r="M716" s="490"/>
      <c r="N716" s="490"/>
      <c r="O716" s="3"/>
    </row>
    <row r="717" spans="1:16" ht="13.5" thickBot="1">
      <c r="C717" s="522"/>
      <c r="D717" s="3"/>
      <c r="E717" s="524"/>
      <c r="F717" s="524"/>
      <c r="G717" s="524"/>
      <c r="H717" s="524"/>
      <c r="I717" s="524"/>
      <c r="J717" s="524"/>
      <c r="K717" s="524"/>
      <c r="L717" s="524"/>
      <c r="M717" s="524"/>
      <c r="N717" s="524"/>
      <c r="O717" s="3"/>
    </row>
    <row r="718" spans="1:16" ht="13.5" thickBot="1">
      <c r="C718" s="525" t="s">
        <v>97</v>
      </c>
      <c r="D718" s="526"/>
      <c r="E718" s="526"/>
      <c r="F718" s="526"/>
      <c r="G718" s="526"/>
      <c r="H718" s="526"/>
      <c r="I718" s="527"/>
      <c r="K718" s="3"/>
      <c r="L718" s="3"/>
      <c r="M718" s="3"/>
      <c r="N718" s="3"/>
      <c r="O718" s="3"/>
    </row>
    <row r="719" spans="1:16" ht="15">
      <c r="C719" s="528" t="s">
        <v>75</v>
      </c>
      <c r="D719" s="957">
        <v>62379701</v>
      </c>
      <c r="E719" s="3" t="s">
        <v>76</v>
      </c>
      <c r="G719" s="47"/>
      <c r="H719" s="47"/>
      <c r="I719" s="529">
        <f>$L$26</f>
        <v>2025</v>
      </c>
      <c r="J719" s="70"/>
      <c r="K719" s="1211" t="s">
        <v>247</v>
      </c>
      <c r="L719" s="1211"/>
      <c r="M719" s="1211"/>
      <c r="N719" s="1211"/>
      <c r="O719" s="1211"/>
    </row>
    <row r="720" spans="1:16">
      <c r="C720" s="528" t="s">
        <v>78</v>
      </c>
      <c r="D720" s="569">
        <v>2016</v>
      </c>
      <c r="E720" s="528" t="s">
        <v>79</v>
      </c>
      <c r="F720" s="47"/>
      <c r="H720"/>
      <c r="I720" s="570">
        <f>IF(G713="",0,$F$17)</f>
        <v>0</v>
      </c>
      <c r="J720" s="530"/>
      <c r="K720" s="503" t="s">
        <v>247</v>
      </c>
    </row>
    <row r="721" spans="2:15">
      <c r="C721" s="528" t="s">
        <v>80</v>
      </c>
      <c r="D721" s="958">
        <v>12</v>
      </c>
      <c r="E721" s="528" t="s">
        <v>81</v>
      </c>
      <c r="F721" s="47"/>
      <c r="H721"/>
      <c r="I721" s="531">
        <f>$G$70</f>
        <v>0.11032660055737779</v>
      </c>
      <c r="J721" s="489"/>
      <c r="K721" t="str">
        <f>"          INPUT PROJECTED ARR (WITH &amp; WITHOUT INCENTIVES) FROM EACH PRIOR YEAR"</f>
        <v xml:space="preserve">          INPUT PROJECTED ARR (WITH &amp; WITHOUT INCENTIVES) FROM EACH PRIOR YEAR</v>
      </c>
    </row>
    <row r="722" spans="2:15">
      <c r="C722" s="528" t="s">
        <v>82</v>
      </c>
      <c r="D722" s="532">
        <f>$G$79</f>
        <v>36</v>
      </c>
      <c r="E722" s="528" t="s">
        <v>83</v>
      </c>
      <c r="F722" s="47"/>
      <c r="H722"/>
      <c r="I722" s="531">
        <f>IF(G713="",I721,$G$69)</f>
        <v>0.11032660055737779</v>
      </c>
      <c r="J722" s="489"/>
      <c r="K722" t="s">
        <v>160</v>
      </c>
    </row>
    <row r="723" spans="2:15" ht="13.5" thickBot="1">
      <c r="C723" s="528" t="s">
        <v>84</v>
      </c>
      <c r="D723" s="567" t="s">
        <v>812</v>
      </c>
      <c r="E723" s="533" t="s">
        <v>85</v>
      </c>
      <c r="F723" s="534"/>
      <c r="G723" s="535"/>
      <c r="H723" s="535"/>
      <c r="I723" s="521">
        <f>IF(D719=0,0,D719/D722)</f>
        <v>1732769.4722222222</v>
      </c>
      <c r="J723" s="503"/>
      <c r="K723" s="503" t="s">
        <v>166</v>
      </c>
      <c r="L723" s="503"/>
      <c r="M723" s="503"/>
      <c r="N723" s="503"/>
      <c r="O723" s="3"/>
    </row>
    <row r="724" spans="2:15" ht="51">
      <c r="B724" s="450"/>
      <c r="C724" s="536" t="s">
        <v>75</v>
      </c>
      <c r="D724" s="537" t="s">
        <v>86</v>
      </c>
      <c r="E724" s="538" t="s">
        <v>87</v>
      </c>
      <c r="F724" s="537" t="s">
        <v>88</v>
      </c>
      <c r="G724" s="538" t="s">
        <v>159</v>
      </c>
      <c r="H724" s="539" t="s">
        <v>159</v>
      </c>
      <c r="I724" s="536" t="s">
        <v>98</v>
      </c>
      <c r="J724" s="540"/>
      <c r="K724" s="538" t="s">
        <v>168</v>
      </c>
      <c r="L724" s="541"/>
      <c r="M724" s="538" t="s">
        <v>168</v>
      </c>
      <c r="N724" s="541"/>
      <c r="O724" s="541"/>
    </row>
    <row r="725" spans="2:15" ht="13.5" thickBot="1">
      <c r="C725" s="542" t="s">
        <v>475</v>
      </c>
      <c r="D725" s="543" t="s">
        <v>476</v>
      </c>
      <c r="E725" s="542" t="s">
        <v>369</v>
      </c>
      <c r="F725" s="543" t="s">
        <v>476</v>
      </c>
      <c r="G725" s="544" t="s">
        <v>101</v>
      </c>
      <c r="H725" s="545" t="s">
        <v>103</v>
      </c>
      <c r="I725" s="542" t="s">
        <v>15</v>
      </c>
      <c r="J725" s="546"/>
      <c r="K725" s="544" t="s">
        <v>90</v>
      </c>
      <c r="L725" s="547"/>
      <c r="M725" s="544" t="s">
        <v>103</v>
      </c>
      <c r="N725" s="547"/>
      <c r="O725" s="547"/>
    </row>
    <row r="726" spans="2:15">
      <c r="C726" s="548">
        <f>IF(D720= "","-",D720)</f>
        <v>2016</v>
      </c>
      <c r="D726" s="506">
        <f>+D719</f>
        <v>62379701</v>
      </c>
      <c r="E726" s="549">
        <f>+I723/12*(12-D721)</f>
        <v>0</v>
      </c>
      <c r="F726" s="506">
        <f>+D726-E726</f>
        <v>62379701</v>
      </c>
      <c r="G726" s="731">
        <f>+$I$96*((D726+F726)/2)+E726</f>
        <v>6882140.3551156605</v>
      </c>
      <c r="H726" s="732">
        <f>$I$97*((D726+F726)/2)+E726</f>
        <v>6882140.3551156605</v>
      </c>
      <c r="I726" s="552">
        <f>+H726-G726</f>
        <v>0</v>
      </c>
      <c r="J726" s="552"/>
      <c r="K726" s="571">
        <v>5764647</v>
      </c>
      <c r="L726" s="553"/>
      <c r="M726" s="571">
        <v>5764647</v>
      </c>
      <c r="N726" s="553"/>
      <c r="O726" s="553"/>
    </row>
    <row r="727" spans="2:15">
      <c r="C727" s="548">
        <f>IF(D720="","-",+C726+1)</f>
        <v>2017</v>
      </c>
      <c r="D727" s="506">
        <f t="shared" ref="D727:D785" si="42">F726</f>
        <v>62379701</v>
      </c>
      <c r="E727" s="549">
        <f>IF(D727&gt;$I$723,$I$723,D727)</f>
        <v>1732769.4722222222</v>
      </c>
      <c r="F727" s="506">
        <f t="shared" ref="F727:F785" si="43">+D727-E727</f>
        <v>60646931.527777776</v>
      </c>
      <c r="G727" s="554">
        <f t="shared" ref="G727:G785" si="44">+$I$96*((D727+F727)/2)+E727</f>
        <v>8519324.5446279421</v>
      </c>
      <c r="H727" s="555">
        <f t="shared" ref="H727:H785" si="45">$I$97*((D727+F727)/2)+E727</f>
        <v>8519324.5446279421</v>
      </c>
      <c r="I727" s="552">
        <f t="shared" ref="I727:I785" si="46">+H727-G727</f>
        <v>0</v>
      </c>
      <c r="J727" s="552"/>
      <c r="K727" s="572">
        <v>7201236</v>
      </c>
      <c r="L727" s="556"/>
      <c r="M727" s="572">
        <v>7201236</v>
      </c>
      <c r="N727" s="556"/>
      <c r="O727" s="556"/>
    </row>
    <row r="728" spans="2:15">
      <c r="C728" s="966">
        <f>IF(D720="","-",+C727+1)</f>
        <v>2018</v>
      </c>
      <c r="D728" s="506">
        <f t="shared" si="42"/>
        <v>60646931.527777776</v>
      </c>
      <c r="E728" s="549">
        <f t="shared" ref="E728:E785" si="47">IF(D728&gt;$I$723,$I$723,D728)</f>
        <v>1732769.4722222222</v>
      </c>
      <c r="F728" s="506">
        <f t="shared" si="43"/>
        <v>58914162.055555552</v>
      </c>
      <c r="G728" s="554">
        <f t="shared" si="44"/>
        <v>8328153.9792080624</v>
      </c>
      <c r="H728" s="555">
        <f t="shared" si="45"/>
        <v>8328153.9792080624</v>
      </c>
      <c r="I728" s="552">
        <f t="shared" si="46"/>
        <v>0</v>
      </c>
      <c r="J728" s="552"/>
      <c r="K728" s="572">
        <v>7115546</v>
      </c>
      <c r="L728" s="556"/>
      <c r="M728" s="572">
        <v>7115546</v>
      </c>
      <c r="N728" s="556"/>
      <c r="O728" s="556"/>
    </row>
    <row r="729" spans="2:15">
      <c r="C729" s="956">
        <f>IF(D720="","-",+C728+1)</f>
        <v>2019</v>
      </c>
      <c r="D729" s="506">
        <f t="shared" si="42"/>
        <v>58914162.055555552</v>
      </c>
      <c r="E729" s="549">
        <f t="shared" si="47"/>
        <v>1732769.4722222222</v>
      </c>
      <c r="F729" s="506">
        <f t="shared" si="43"/>
        <v>57181392.583333328</v>
      </c>
      <c r="G729" s="554">
        <f t="shared" si="44"/>
        <v>8136983.4137881827</v>
      </c>
      <c r="H729" s="555">
        <f t="shared" si="45"/>
        <v>8136983.4137881827</v>
      </c>
      <c r="I729" s="552">
        <f t="shared" si="46"/>
        <v>0</v>
      </c>
      <c r="J729" s="552"/>
      <c r="K729" s="572"/>
      <c r="L729" s="556"/>
      <c r="M729" s="572"/>
      <c r="N729" s="556"/>
      <c r="O729" s="556"/>
    </row>
    <row r="730" spans="2:15">
      <c r="C730" s="548">
        <f>IF(D720="","-",+C729+1)</f>
        <v>2020</v>
      </c>
      <c r="D730" s="506">
        <f t="shared" si="42"/>
        <v>57181392.583333328</v>
      </c>
      <c r="E730" s="549">
        <f t="shared" si="47"/>
        <v>1732769.4722222222</v>
      </c>
      <c r="F730" s="506">
        <f t="shared" si="43"/>
        <v>55448623.111111104</v>
      </c>
      <c r="G730" s="554">
        <f t="shared" si="44"/>
        <v>7945812.8483683039</v>
      </c>
      <c r="H730" s="555">
        <f t="shared" si="45"/>
        <v>7945812.8483683039</v>
      </c>
      <c r="I730" s="552">
        <f t="shared" si="46"/>
        <v>0</v>
      </c>
      <c r="J730" s="552"/>
      <c r="K730" s="572"/>
      <c r="L730" s="556"/>
      <c r="M730" s="572"/>
      <c r="N730" s="556"/>
      <c r="O730" s="556"/>
    </row>
    <row r="731" spans="2:15">
      <c r="C731" s="548">
        <f>IF(D720="","-",+C730+1)</f>
        <v>2021</v>
      </c>
      <c r="D731" s="506">
        <f t="shared" si="42"/>
        <v>55448623.111111104</v>
      </c>
      <c r="E731" s="549">
        <f t="shared" si="47"/>
        <v>1732769.4722222222</v>
      </c>
      <c r="F731" s="506">
        <f t="shared" si="43"/>
        <v>53715853.638888881</v>
      </c>
      <c r="G731" s="554">
        <f t="shared" si="44"/>
        <v>7754642.2829484241</v>
      </c>
      <c r="H731" s="555">
        <f t="shared" si="45"/>
        <v>7754642.2829484241</v>
      </c>
      <c r="I731" s="552">
        <f t="shared" si="46"/>
        <v>0</v>
      </c>
      <c r="J731" s="552"/>
      <c r="K731" s="572"/>
      <c r="L731" s="556"/>
      <c r="M731" s="572"/>
      <c r="N731" s="556"/>
      <c r="O731" s="556"/>
    </row>
    <row r="732" spans="2:15">
      <c r="C732" s="548">
        <f>IF(D720="","-",+C731+1)</f>
        <v>2022</v>
      </c>
      <c r="D732" s="506">
        <f t="shared" si="42"/>
        <v>53715853.638888881</v>
      </c>
      <c r="E732" s="549">
        <f t="shared" si="47"/>
        <v>1732769.4722222222</v>
      </c>
      <c r="F732" s="506">
        <f t="shared" si="43"/>
        <v>51983084.166666657</v>
      </c>
      <c r="G732" s="554">
        <f t="shared" si="44"/>
        <v>7563471.7175285444</v>
      </c>
      <c r="H732" s="555">
        <f t="shared" si="45"/>
        <v>7563471.7175285444</v>
      </c>
      <c r="I732" s="552">
        <f t="shared" si="46"/>
        <v>0</v>
      </c>
      <c r="J732" s="552"/>
      <c r="K732" s="572"/>
      <c r="L732" s="556"/>
      <c r="M732" s="572"/>
      <c r="N732" s="556"/>
      <c r="O732" s="556"/>
    </row>
    <row r="733" spans="2:15">
      <c r="C733" s="548">
        <f>IF(D720="","-",+C732+1)</f>
        <v>2023</v>
      </c>
      <c r="D733" s="506">
        <f t="shared" si="42"/>
        <v>51983084.166666657</v>
      </c>
      <c r="E733" s="549">
        <f t="shared" si="47"/>
        <v>1732769.4722222222</v>
      </c>
      <c r="F733" s="506">
        <f t="shared" si="43"/>
        <v>50250314.694444433</v>
      </c>
      <c r="G733" s="554">
        <f t="shared" si="44"/>
        <v>7372301.1521086646</v>
      </c>
      <c r="H733" s="555">
        <f t="shared" si="45"/>
        <v>7372301.1521086646</v>
      </c>
      <c r="I733" s="552">
        <f t="shared" si="46"/>
        <v>0</v>
      </c>
      <c r="J733" s="552"/>
      <c r="K733" s="572"/>
      <c r="L733" s="556"/>
      <c r="M733" s="572"/>
      <c r="N733" s="556"/>
      <c r="O733" s="556"/>
    </row>
    <row r="734" spans="2:15">
      <c r="C734" s="548">
        <f>IF(D720="","-",+C733+1)</f>
        <v>2024</v>
      </c>
      <c r="D734" s="506">
        <f t="shared" si="42"/>
        <v>50250314.694444433</v>
      </c>
      <c r="E734" s="549">
        <f t="shared" si="47"/>
        <v>1732769.4722222222</v>
      </c>
      <c r="F734" s="506">
        <f t="shared" si="43"/>
        <v>48517545.222222209</v>
      </c>
      <c r="G734" s="554">
        <f t="shared" si="44"/>
        <v>7181130.5866887849</v>
      </c>
      <c r="H734" s="555">
        <f t="shared" si="45"/>
        <v>7181130.5866887849</v>
      </c>
      <c r="I734" s="552">
        <f t="shared" si="46"/>
        <v>0</v>
      </c>
      <c r="J734" s="552"/>
      <c r="K734" s="572"/>
      <c r="L734" s="556"/>
      <c r="M734" s="572"/>
      <c r="N734" s="556"/>
      <c r="O734" s="556"/>
    </row>
    <row r="735" spans="2:15">
      <c r="C735" s="548">
        <f>IF(D720="","-",+C734+1)</f>
        <v>2025</v>
      </c>
      <c r="D735" s="506">
        <f t="shared" si="42"/>
        <v>48517545.222222209</v>
      </c>
      <c r="E735" s="549">
        <f t="shared" si="47"/>
        <v>1732769.4722222222</v>
      </c>
      <c r="F735" s="506">
        <f t="shared" si="43"/>
        <v>46784775.749999985</v>
      </c>
      <c r="G735" s="554">
        <f t="shared" si="44"/>
        <v>6989960.0212689051</v>
      </c>
      <c r="H735" s="555">
        <f t="shared" si="45"/>
        <v>6989960.0212689051</v>
      </c>
      <c r="I735" s="552">
        <f t="shared" si="46"/>
        <v>0</v>
      </c>
      <c r="J735" s="552"/>
      <c r="K735" s="572"/>
      <c r="L735" s="556"/>
      <c r="M735" s="572"/>
      <c r="N735" s="556"/>
      <c r="O735" s="556"/>
    </row>
    <row r="736" spans="2:15">
      <c r="C736" s="548">
        <f>IF(D720="","-",+C735+1)</f>
        <v>2026</v>
      </c>
      <c r="D736" s="506">
        <f t="shared" si="42"/>
        <v>46784775.749999985</v>
      </c>
      <c r="E736" s="549">
        <f t="shared" si="47"/>
        <v>1732769.4722222222</v>
      </c>
      <c r="F736" s="506">
        <f t="shared" si="43"/>
        <v>45052006.277777761</v>
      </c>
      <c r="G736" s="554">
        <f t="shared" si="44"/>
        <v>6798789.4558490254</v>
      </c>
      <c r="H736" s="555">
        <f t="shared" si="45"/>
        <v>6798789.4558490254</v>
      </c>
      <c r="I736" s="552">
        <f t="shared" si="46"/>
        <v>0</v>
      </c>
      <c r="J736" s="552"/>
      <c r="K736" s="572"/>
      <c r="L736" s="556"/>
      <c r="M736" s="572"/>
      <c r="N736" s="556"/>
      <c r="O736" s="556"/>
    </row>
    <row r="737" spans="3:15">
      <c r="C737" s="548">
        <f>IF(D720="","-",+C736+1)</f>
        <v>2027</v>
      </c>
      <c r="D737" s="506">
        <f t="shared" si="42"/>
        <v>45052006.277777761</v>
      </c>
      <c r="E737" s="549">
        <f t="shared" si="47"/>
        <v>1732769.4722222222</v>
      </c>
      <c r="F737" s="506">
        <f t="shared" si="43"/>
        <v>43319236.805555537</v>
      </c>
      <c r="G737" s="554">
        <f t="shared" si="44"/>
        <v>6607618.8904291457</v>
      </c>
      <c r="H737" s="555">
        <f t="shared" si="45"/>
        <v>6607618.8904291457</v>
      </c>
      <c r="I737" s="552">
        <f t="shared" si="46"/>
        <v>0</v>
      </c>
      <c r="J737" s="552"/>
      <c r="K737" s="572"/>
      <c r="L737" s="556"/>
      <c r="M737" s="572"/>
      <c r="N737" s="556"/>
      <c r="O737" s="556"/>
    </row>
    <row r="738" spans="3:15">
      <c r="C738" s="548">
        <f>IF(D720="","-",+C737+1)</f>
        <v>2028</v>
      </c>
      <c r="D738" s="506">
        <f t="shared" si="42"/>
        <v>43319236.805555537</v>
      </c>
      <c r="E738" s="549">
        <f t="shared" si="47"/>
        <v>1732769.4722222222</v>
      </c>
      <c r="F738" s="506">
        <f t="shared" si="43"/>
        <v>41586467.333333313</v>
      </c>
      <c r="G738" s="554">
        <f t="shared" si="44"/>
        <v>6416448.3250092659</v>
      </c>
      <c r="H738" s="555">
        <f t="shared" si="45"/>
        <v>6416448.3250092659</v>
      </c>
      <c r="I738" s="552">
        <f t="shared" si="46"/>
        <v>0</v>
      </c>
      <c r="J738" s="552"/>
      <c r="K738" s="572"/>
      <c r="L738" s="556"/>
      <c r="M738" s="572"/>
      <c r="N738" s="557"/>
      <c r="O738" s="556"/>
    </row>
    <row r="739" spans="3:15">
      <c r="C739" s="548">
        <f>IF(D720="","-",+C738+1)</f>
        <v>2029</v>
      </c>
      <c r="D739" s="506">
        <f t="shared" si="42"/>
        <v>41586467.333333313</v>
      </c>
      <c r="E739" s="549">
        <f t="shared" si="47"/>
        <v>1732769.4722222222</v>
      </c>
      <c r="F739" s="506">
        <f t="shared" si="43"/>
        <v>39853697.86111109</v>
      </c>
      <c r="G739" s="554">
        <f t="shared" si="44"/>
        <v>6225277.7595893871</v>
      </c>
      <c r="H739" s="555">
        <f t="shared" si="45"/>
        <v>6225277.7595893871</v>
      </c>
      <c r="I739" s="552">
        <f t="shared" si="46"/>
        <v>0</v>
      </c>
      <c r="J739" s="552"/>
      <c r="K739" s="572"/>
      <c r="L739" s="556"/>
      <c r="M739" s="572"/>
      <c r="N739" s="556"/>
      <c r="O739" s="556"/>
    </row>
    <row r="740" spans="3:15">
      <c r="C740" s="548">
        <f>IF(D720="","-",+C739+1)</f>
        <v>2030</v>
      </c>
      <c r="D740" s="506">
        <f t="shared" si="42"/>
        <v>39853697.86111109</v>
      </c>
      <c r="E740" s="549">
        <f t="shared" si="47"/>
        <v>1732769.4722222222</v>
      </c>
      <c r="F740" s="506">
        <f t="shared" si="43"/>
        <v>38120928.388888866</v>
      </c>
      <c r="G740" s="554">
        <f t="shared" si="44"/>
        <v>6034107.1941695074</v>
      </c>
      <c r="H740" s="555">
        <f t="shared" si="45"/>
        <v>6034107.1941695074</v>
      </c>
      <c r="I740" s="552">
        <f t="shared" si="46"/>
        <v>0</v>
      </c>
      <c r="J740" s="552"/>
      <c r="K740" s="572"/>
      <c r="L740" s="556"/>
      <c r="M740" s="572"/>
      <c r="N740" s="556"/>
      <c r="O740" s="556"/>
    </row>
    <row r="741" spans="3:15">
      <c r="C741" s="548">
        <f>IF(D720="","-",+C740+1)</f>
        <v>2031</v>
      </c>
      <c r="D741" s="506">
        <f t="shared" si="42"/>
        <v>38120928.388888866</v>
      </c>
      <c r="E741" s="549">
        <f t="shared" si="47"/>
        <v>1732769.4722222222</v>
      </c>
      <c r="F741" s="506">
        <f t="shared" si="43"/>
        <v>36388158.916666642</v>
      </c>
      <c r="G741" s="554">
        <f t="shared" si="44"/>
        <v>5842936.6287496276</v>
      </c>
      <c r="H741" s="555">
        <f t="shared" si="45"/>
        <v>5842936.6287496276</v>
      </c>
      <c r="I741" s="552">
        <f t="shared" si="46"/>
        <v>0</v>
      </c>
      <c r="J741" s="552"/>
      <c r="K741" s="572"/>
      <c r="L741" s="556"/>
      <c r="M741" s="572"/>
      <c r="N741" s="556"/>
      <c r="O741" s="556"/>
    </row>
    <row r="742" spans="3:15">
      <c r="C742" s="548">
        <f>IF(D720="","-",+C741+1)</f>
        <v>2032</v>
      </c>
      <c r="D742" s="506">
        <f t="shared" si="42"/>
        <v>36388158.916666642</v>
      </c>
      <c r="E742" s="549">
        <f t="shared" si="47"/>
        <v>1732769.4722222222</v>
      </c>
      <c r="F742" s="506">
        <f t="shared" si="43"/>
        <v>34655389.444444418</v>
      </c>
      <c r="G742" s="554">
        <f t="shared" si="44"/>
        <v>5651766.0633297479</v>
      </c>
      <c r="H742" s="555">
        <f t="shared" si="45"/>
        <v>5651766.0633297479</v>
      </c>
      <c r="I742" s="552">
        <f t="shared" si="46"/>
        <v>0</v>
      </c>
      <c r="J742" s="552"/>
      <c r="K742" s="572"/>
      <c r="L742" s="556"/>
      <c r="M742" s="572"/>
      <c r="N742" s="556"/>
      <c r="O742" s="556"/>
    </row>
    <row r="743" spans="3:15">
      <c r="C743" s="548">
        <f>IF(D720="","-",+C742+1)</f>
        <v>2033</v>
      </c>
      <c r="D743" s="506">
        <f t="shared" si="42"/>
        <v>34655389.444444418</v>
      </c>
      <c r="E743" s="549">
        <f t="shared" si="47"/>
        <v>1732769.4722222222</v>
      </c>
      <c r="F743" s="506">
        <f t="shared" si="43"/>
        <v>32922619.972222194</v>
      </c>
      <c r="G743" s="554">
        <f t="shared" si="44"/>
        <v>5460595.4979098681</v>
      </c>
      <c r="H743" s="555">
        <f t="shared" si="45"/>
        <v>5460595.4979098681</v>
      </c>
      <c r="I743" s="552">
        <f t="shared" si="46"/>
        <v>0</v>
      </c>
      <c r="J743" s="552"/>
      <c r="K743" s="572"/>
      <c r="L743" s="556"/>
      <c r="M743" s="572"/>
      <c r="N743" s="556"/>
      <c r="O743" s="556"/>
    </row>
    <row r="744" spans="3:15">
      <c r="C744" s="548">
        <f>IF(D720="","-",+C743+1)</f>
        <v>2034</v>
      </c>
      <c r="D744" s="506">
        <f t="shared" si="42"/>
        <v>32922619.972222194</v>
      </c>
      <c r="E744" s="549">
        <f t="shared" si="47"/>
        <v>1732769.4722222222</v>
      </c>
      <c r="F744" s="506">
        <f t="shared" si="43"/>
        <v>31189850.49999997</v>
      </c>
      <c r="G744" s="554">
        <f t="shared" si="44"/>
        <v>5269424.9324899884</v>
      </c>
      <c r="H744" s="555">
        <f t="shared" si="45"/>
        <v>5269424.9324899884</v>
      </c>
      <c r="I744" s="552">
        <f t="shared" si="46"/>
        <v>0</v>
      </c>
      <c r="J744" s="552"/>
      <c r="K744" s="572"/>
      <c r="L744" s="556"/>
      <c r="M744" s="572"/>
      <c r="N744" s="556"/>
      <c r="O744" s="556"/>
    </row>
    <row r="745" spans="3:15">
      <c r="C745" s="548">
        <f>IF(D720="","-",+C744+1)</f>
        <v>2035</v>
      </c>
      <c r="D745" s="506">
        <f t="shared" si="42"/>
        <v>31189850.49999997</v>
      </c>
      <c r="E745" s="549">
        <f t="shared" si="47"/>
        <v>1732769.4722222222</v>
      </c>
      <c r="F745" s="506">
        <f t="shared" si="43"/>
        <v>29457081.027777746</v>
      </c>
      <c r="G745" s="554">
        <f t="shared" si="44"/>
        <v>5078254.3670701096</v>
      </c>
      <c r="H745" s="555">
        <f t="shared" si="45"/>
        <v>5078254.3670701096</v>
      </c>
      <c r="I745" s="552">
        <f t="shared" si="46"/>
        <v>0</v>
      </c>
      <c r="J745" s="552"/>
      <c r="K745" s="572"/>
      <c r="L745" s="556"/>
      <c r="M745" s="572"/>
      <c r="N745" s="556"/>
      <c r="O745" s="556"/>
    </row>
    <row r="746" spans="3:15">
      <c r="C746" s="548">
        <f>IF(D720="","-",+C745+1)</f>
        <v>2036</v>
      </c>
      <c r="D746" s="506">
        <f t="shared" si="42"/>
        <v>29457081.027777746</v>
      </c>
      <c r="E746" s="549">
        <f t="shared" si="47"/>
        <v>1732769.4722222222</v>
      </c>
      <c r="F746" s="506">
        <f t="shared" si="43"/>
        <v>27724311.555555522</v>
      </c>
      <c r="G746" s="554">
        <f t="shared" si="44"/>
        <v>4887083.8016502298</v>
      </c>
      <c r="H746" s="555">
        <f t="shared" si="45"/>
        <v>4887083.8016502298</v>
      </c>
      <c r="I746" s="552">
        <f t="shared" si="46"/>
        <v>0</v>
      </c>
      <c r="J746" s="552"/>
      <c r="K746" s="572"/>
      <c r="L746" s="556"/>
      <c r="M746" s="572"/>
      <c r="N746" s="556"/>
      <c r="O746" s="556"/>
    </row>
    <row r="747" spans="3:15">
      <c r="C747" s="548">
        <f>IF(D720="","-",+C746+1)</f>
        <v>2037</v>
      </c>
      <c r="D747" s="506">
        <f t="shared" si="42"/>
        <v>27724311.555555522</v>
      </c>
      <c r="E747" s="549">
        <f t="shared" si="47"/>
        <v>1732769.4722222222</v>
      </c>
      <c r="F747" s="506">
        <f t="shared" si="43"/>
        <v>25991542.083333299</v>
      </c>
      <c r="G747" s="554">
        <f t="shared" si="44"/>
        <v>4695913.2362303501</v>
      </c>
      <c r="H747" s="555">
        <f t="shared" si="45"/>
        <v>4695913.2362303501</v>
      </c>
      <c r="I747" s="552">
        <f t="shared" si="46"/>
        <v>0</v>
      </c>
      <c r="J747" s="552"/>
      <c r="K747" s="572"/>
      <c r="L747" s="556"/>
      <c r="M747" s="572"/>
      <c r="N747" s="556"/>
      <c r="O747" s="556"/>
    </row>
    <row r="748" spans="3:15">
      <c r="C748" s="548">
        <f>IF(D720="","-",+C747+1)</f>
        <v>2038</v>
      </c>
      <c r="D748" s="506">
        <f t="shared" si="42"/>
        <v>25991542.083333299</v>
      </c>
      <c r="E748" s="549">
        <f t="shared" si="47"/>
        <v>1732769.4722222222</v>
      </c>
      <c r="F748" s="506">
        <f t="shared" si="43"/>
        <v>24258772.611111075</v>
      </c>
      <c r="G748" s="554">
        <f t="shared" si="44"/>
        <v>4504742.6708104704</v>
      </c>
      <c r="H748" s="555">
        <f t="shared" si="45"/>
        <v>4504742.6708104704</v>
      </c>
      <c r="I748" s="552">
        <f t="shared" si="46"/>
        <v>0</v>
      </c>
      <c r="J748" s="552"/>
      <c r="K748" s="572"/>
      <c r="L748" s="556"/>
      <c r="M748" s="572"/>
      <c r="N748" s="556"/>
      <c r="O748" s="556"/>
    </row>
    <row r="749" spans="3:15">
      <c r="C749" s="548">
        <f>IF(D720="","-",+C748+1)</f>
        <v>2039</v>
      </c>
      <c r="D749" s="506">
        <f t="shared" si="42"/>
        <v>24258772.611111075</v>
      </c>
      <c r="E749" s="549">
        <f t="shared" si="47"/>
        <v>1732769.4722222222</v>
      </c>
      <c r="F749" s="506">
        <f t="shared" si="43"/>
        <v>22526003.138888851</v>
      </c>
      <c r="G749" s="554">
        <f t="shared" si="44"/>
        <v>4313572.1053905906</v>
      </c>
      <c r="H749" s="555">
        <f t="shared" si="45"/>
        <v>4313572.1053905906</v>
      </c>
      <c r="I749" s="552">
        <f t="shared" si="46"/>
        <v>0</v>
      </c>
      <c r="J749" s="552"/>
      <c r="K749" s="572"/>
      <c r="L749" s="556"/>
      <c r="M749" s="572"/>
      <c r="N749" s="556"/>
      <c r="O749" s="556"/>
    </row>
    <row r="750" spans="3:15">
      <c r="C750" s="548">
        <f>IF(D720="","-",+C749+1)</f>
        <v>2040</v>
      </c>
      <c r="D750" s="506">
        <f t="shared" si="42"/>
        <v>22526003.138888851</v>
      </c>
      <c r="E750" s="549">
        <f t="shared" si="47"/>
        <v>1732769.4722222222</v>
      </c>
      <c r="F750" s="506">
        <f t="shared" si="43"/>
        <v>20793233.666666627</v>
      </c>
      <c r="G750" s="554">
        <f t="shared" si="44"/>
        <v>4122401.5399707109</v>
      </c>
      <c r="H750" s="555">
        <f t="shared" si="45"/>
        <v>4122401.5399707109</v>
      </c>
      <c r="I750" s="552">
        <f t="shared" si="46"/>
        <v>0</v>
      </c>
      <c r="J750" s="552"/>
      <c r="K750" s="572"/>
      <c r="L750" s="556"/>
      <c r="M750" s="572"/>
      <c r="N750" s="556"/>
      <c r="O750" s="556"/>
    </row>
    <row r="751" spans="3:15">
      <c r="C751" s="548">
        <f>IF(D720="","-",+C750+1)</f>
        <v>2041</v>
      </c>
      <c r="D751" s="506">
        <f t="shared" si="42"/>
        <v>20793233.666666627</v>
      </c>
      <c r="E751" s="549">
        <f t="shared" si="47"/>
        <v>1732769.4722222222</v>
      </c>
      <c r="F751" s="506">
        <f t="shared" si="43"/>
        <v>19060464.194444403</v>
      </c>
      <c r="G751" s="554">
        <f t="shared" si="44"/>
        <v>3931230.9745508311</v>
      </c>
      <c r="H751" s="555">
        <f t="shared" si="45"/>
        <v>3931230.9745508311</v>
      </c>
      <c r="I751" s="552">
        <f t="shared" si="46"/>
        <v>0</v>
      </c>
      <c r="J751" s="552"/>
      <c r="K751" s="572"/>
      <c r="L751" s="556"/>
      <c r="M751" s="572"/>
      <c r="N751" s="556"/>
      <c r="O751" s="556"/>
    </row>
    <row r="752" spans="3:15">
      <c r="C752" s="548">
        <f>IF(D720="","-",+C751+1)</f>
        <v>2042</v>
      </c>
      <c r="D752" s="506">
        <f t="shared" si="42"/>
        <v>19060464.194444403</v>
      </c>
      <c r="E752" s="549">
        <f t="shared" si="47"/>
        <v>1732769.4722222222</v>
      </c>
      <c r="F752" s="506">
        <f t="shared" si="43"/>
        <v>17327694.722222179</v>
      </c>
      <c r="G752" s="554">
        <f t="shared" si="44"/>
        <v>3740060.4091309519</v>
      </c>
      <c r="H752" s="555">
        <f t="shared" si="45"/>
        <v>3740060.4091309519</v>
      </c>
      <c r="I752" s="552">
        <f t="shared" si="46"/>
        <v>0</v>
      </c>
      <c r="J752" s="552"/>
      <c r="K752" s="572"/>
      <c r="L752" s="556"/>
      <c r="M752" s="572"/>
      <c r="N752" s="556"/>
      <c r="O752" s="556"/>
    </row>
    <row r="753" spans="3:15">
      <c r="C753" s="548">
        <f>IF(D720="","-",+C752+1)</f>
        <v>2043</v>
      </c>
      <c r="D753" s="506">
        <f t="shared" si="42"/>
        <v>17327694.722222179</v>
      </c>
      <c r="E753" s="549">
        <f t="shared" si="47"/>
        <v>1732769.4722222222</v>
      </c>
      <c r="F753" s="506">
        <f t="shared" si="43"/>
        <v>15594925.249999957</v>
      </c>
      <c r="G753" s="554">
        <f t="shared" si="44"/>
        <v>3548889.8437110721</v>
      </c>
      <c r="H753" s="555">
        <f t="shared" si="45"/>
        <v>3548889.8437110721</v>
      </c>
      <c r="I753" s="552">
        <f t="shared" si="46"/>
        <v>0</v>
      </c>
      <c r="J753" s="552"/>
      <c r="K753" s="572"/>
      <c r="L753" s="556"/>
      <c r="M753" s="572"/>
      <c r="N753" s="556"/>
      <c r="O753" s="556"/>
    </row>
    <row r="754" spans="3:15">
      <c r="C754" s="548">
        <f>IF(D720="","-",+C753+1)</f>
        <v>2044</v>
      </c>
      <c r="D754" s="506">
        <f t="shared" si="42"/>
        <v>15594925.249999957</v>
      </c>
      <c r="E754" s="549">
        <f t="shared" si="47"/>
        <v>1732769.4722222222</v>
      </c>
      <c r="F754" s="506">
        <f t="shared" si="43"/>
        <v>13862155.777777735</v>
      </c>
      <c r="G754" s="550">
        <f t="shared" si="44"/>
        <v>3357719.2782911928</v>
      </c>
      <c r="H754" s="555">
        <f t="shared" si="45"/>
        <v>3357719.2782911928</v>
      </c>
      <c r="I754" s="552">
        <f t="shared" si="46"/>
        <v>0</v>
      </c>
      <c r="J754" s="552"/>
      <c r="K754" s="572"/>
      <c r="L754" s="556"/>
      <c r="M754" s="572"/>
      <c r="N754" s="556"/>
      <c r="O754" s="556"/>
    </row>
    <row r="755" spans="3:15">
      <c r="C755" s="548">
        <f>IF(D720="","-",+C754+1)</f>
        <v>2045</v>
      </c>
      <c r="D755" s="506">
        <f t="shared" si="42"/>
        <v>13862155.777777735</v>
      </c>
      <c r="E755" s="549">
        <f t="shared" si="47"/>
        <v>1732769.4722222222</v>
      </c>
      <c r="F755" s="506">
        <f t="shared" si="43"/>
        <v>12129386.305555513</v>
      </c>
      <c r="G755" s="554">
        <f t="shared" si="44"/>
        <v>3166548.7128713131</v>
      </c>
      <c r="H755" s="555">
        <f t="shared" si="45"/>
        <v>3166548.7128713131</v>
      </c>
      <c r="I755" s="552">
        <f t="shared" si="46"/>
        <v>0</v>
      </c>
      <c r="J755" s="552"/>
      <c r="K755" s="572"/>
      <c r="L755" s="556"/>
      <c r="M755" s="572"/>
      <c r="N755" s="556"/>
      <c r="O755" s="556"/>
    </row>
    <row r="756" spans="3:15">
      <c r="C756" s="548">
        <f>IF(D720="","-",+C755+1)</f>
        <v>2046</v>
      </c>
      <c r="D756" s="506">
        <f t="shared" si="42"/>
        <v>12129386.305555513</v>
      </c>
      <c r="E756" s="549">
        <f t="shared" si="47"/>
        <v>1732769.4722222222</v>
      </c>
      <c r="F756" s="506">
        <f t="shared" si="43"/>
        <v>10396616.833333291</v>
      </c>
      <c r="G756" s="554">
        <f t="shared" si="44"/>
        <v>2975378.1474514343</v>
      </c>
      <c r="H756" s="555">
        <f t="shared" si="45"/>
        <v>2975378.1474514343</v>
      </c>
      <c r="I756" s="552">
        <f t="shared" si="46"/>
        <v>0</v>
      </c>
      <c r="J756" s="552"/>
      <c r="K756" s="572"/>
      <c r="L756" s="556"/>
      <c r="M756" s="572"/>
      <c r="N756" s="556"/>
      <c r="O756" s="556"/>
    </row>
    <row r="757" spans="3:15">
      <c r="C757" s="548">
        <f>IF(D720="","-",+C756+1)</f>
        <v>2047</v>
      </c>
      <c r="D757" s="506">
        <f t="shared" si="42"/>
        <v>10396616.833333291</v>
      </c>
      <c r="E757" s="549">
        <f t="shared" si="47"/>
        <v>1732769.4722222222</v>
      </c>
      <c r="F757" s="506">
        <f t="shared" si="43"/>
        <v>8663847.3611110691</v>
      </c>
      <c r="G757" s="554">
        <f t="shared" si="44"/>
        <v>2784207.5820315545</v>
      </c>
      <c r="H757" s="555">
        <f t="shared" si="45"/>
        <v>2784207.5820315545</v>
      </c>
      <c r="I757" s="552">
        <f t="shared" si="46"/>
        <v>0</v>
      </c>
      <c r="J757" s="552"/>
      <c r="K757" s="572"/>
      <c r="L757" s="556"/>
      <c r="M757" s="572"/>
      <c r="N757" s="556"/>
      <c r="O757" s="556"/>
    </row>
    <row r="758" spans="3:15">
      <c r="C758" s="548">
        <f>IF(D720="","-",+C757+1)</f>
        <v>2048</v>
      </c>
      <c r="D758" s="506">
        <f t="shared" si="42"/>
        <v>8663847.3611110691</v>
      </c>
      <c r="E758" s="549">
        <f t="shared" si="47"/>
        <v>1732769.4722222222</v>
      </c>
      <c r="F758" s="506">
        <f t="shared" si="43"/>
        <v>6931077.8888888471</v>
      </c>
      <c r="G758" s="554">
        <f t="shared" si="44"/>
        <v>2593037.0166116753</v>
      </c>
      <c r="H758" s="555">
        <f t="shared" si="45"/>
        <v>2593037.0166116753</v>
      </c>
      <c r="I758" s="552">
        <f t="shared" si="46"/>
        <v>0</v>
      </c>
      <c r="J758" s="552"/>
      <c r="K758" s="572"/>
      <c r="L758" s="556"/>
      <c r="M758" s="572"/>
      <c r="N758" s="556"/>
      <c r="O758" s="556"/>
    </row>
    <row r="759" spans="3:15">
      <c r="C759" s="548">
        <f>IF(D720="","-",+C758+1)</f>
        <v>2049</v>
      </c>
      <c r="D759" s="506">
        <f t="shared" si="42"/>
        <v>6931077.8888888471</v>
      </c>
      <c r="E759" s="549">
        <f t="shared" si="47"/>
        <v>1732769.4722222222</v>
      </c>
      <c r="F759" s="506">
        <f t="shared" si="43"/>
        <v>5198308.4166666251</v>
      </c>
      <c r="G759" s="554">
        <f t="shared" si="44"/>
        <v>2401866.451191796</v>
      </c>
      <c r="H759" s="555">
        <f t="shared" si="45"/>
        <v>2401866.451191796</v>
      </c>
      <c r="I759" s="552">
        <f t="shared" si="46"/>
        <v>0</v>
      </c>
      <c r="J759" s="552"/>
      <c r="K759" s="572"/>
      <c r="L759" s="556"/>
      <c r="M759" s="572"/>
      <c r="N759" s="556"/>
      <c r="O759" s="556"/>
    </row>
    <row r="760" spans="3:15">
      <c r="C760" s="548">
        <f>IF(D720="","-",+C759+1)</f>
        <v>2050</v>
      </c>
      <c r="D760" s="506">
        <f t="shared" si="42"/>
        <v>5198308.4166666251</v>
      </c>
      <c r="E760" s="549">
        <f t="shared" si="47"/>
        <v>1732769.4722222222</v>
      </c>
      <c r="F760" s="506">
        <f t="shared" si="43"/>
        <v>3465538.9444444031</v>
      </c>
      <c r="G760" s="554">
        <f t="shared" si="44"/>
        <v>2210695.8857719162</v>
      </c>
      <c r="H760" s="555">
        <f t="shared" si="45"/>
        <v>2210695.8857719162</v>
      </c>
      <c r="I760" s="552">
        <f t="shared" si="46"/>
        <v>0</v>
      </c>
      <c r="J760" s="552"/>
      <c r="K760" s="572"/>
      <c r="L760" s="556"/>
      <c r="M760" s="572"/>
      <c r="N760" s="556"/>
      <c r="O760" s="556"/>
    </row>
    <row r="761" spans="3:15">
      <c r="C761" s="548">
        <f>IF(D720="","-",+C760+1)</f>
        <v>2051</v>
      </c>
      <c r="D761" s="506">
        <f t="shared" si="42"/>
        <v>3465538.9444444031</v>
      </c>
      <c r="E761" s="549">
        <f t="shared" si="47"/>
        <v>1732769.4722222222</v>
      </c>
      <c r="F761" s="506">
        <f t="shared" si="43"/>
        <v>1732769.4722221808</v>
      </c>
      <c r="G761" s="554">
        <f t="shared" si="44"/>
        <v>2019525.320352037</v>
      </c>
      <c r="H761" s="555">
        <f t="shared" si="45"/>
        <v>2019525.320352037</v>
      </c>
      <c r="I761" s="552">
        <f t="shared" si="46"/>
        <v>0</v>
      </c>
      <c r="J761" s="552"/>
      <c r="K761" s="572"/>
      <c r="L761" s="556"/>
      <c r="M761" s="572"/>
      <c r="N761" s="556"/>
      <c r="O761" s="556"/>
    </row>
    <row r="762" spans="3:15">
      <c r="C762" s="548">
        <f>IF(D720="","-",+C761+1)</f>
        <v>2052</v>
      </c>
      <c r="D762" s="506">
        <f t="shared" si="42"/>
        <v>1732769.4722221808</v>
      </c>
      <c r="E762" s="549">
        <f t="shared" si="47"/>
        <v>1732769.4722221808</v>
      </c>
      <c r="F762" s="506">
        <f t="shared" si="43"/>
        <v>0</v>
      </c>
      <c r="G762" s="554">
        <f t="shared" si="44"/>
        <v>1828354.7549321183</v>
      </c>
      <c r="H762" s="555">
        <f t="shared" si="45"/>
        <v>1828354.7549321183</v>
      </c>
      <c r="I762" s="552">
        <f t="shared" si="46"/>
        <v>0</v>
      </c>
      <c r="J762" s="552"/>
      <c r="K762" s="572"/>
      <c r="L762" s="556"/>
      <c r="M762" s="572"/>
      <c r="N762" s="556"/>
      <c r="O762" s="556"/>
    </row>
    <row r="763" spans="3:15">
      <c r="C763" s="548">
        <f>IF(D720="","-",+C762+1)</f>
        <v>2053</v>
      </c>
      <c r="D763" s="506">
        <f t="shared" si="42"/>
        <v>0</v>
      </c>
      <c r="E763" s="549">
        <f t="shared" si="47"/>
        <v>0</v>
      </c>
      <c r="F763" s="506">
        <f t="shared" si="43"/>
        <v>0</v>
      </c>
      <c r="G763" s="554">
        <f t="shared" si="44"/>
        <v>0</v>
      </c>
      <c r="H763" s="555">
        <f t="shared" si="45"/>
        <v>0</v>
      </c>
      <c r="I763" s="552">
        <f t="shared" si="46"/>
        <v>0</v>
      </c>
      <c r="J763" s="552"/>
      <c r="K763" s="572"/>
      <c r="L763" s="556"/>
      <c r="M763" s="572"/>
      <c r="N763" s="556"/>
      <c r="O763" s="556"/>
    </row>
    <row r="764" spans="3:15">
      <c r="C764" s="548">
        <f>IF(D720="","-",+C763+1)</f>
        <v>2054</v>
      </c>
      <c r="D764" s="506">
        <f t="shared" si="42"/>
        <v>0</v>
      </c>
      <c r="E764" s="549">
        <f t="shared" si="47"/>
        <v>0</v>
      </c>
      <c r="F764" s="506">
        <f t="shared" si="43"/>
        <v>0</v>
      </c>
      <c r="G764" s="554">
        <f t="shared" si="44"/>
        <v>0</v>
      </c>
      <c r="H764" s="555">
        <f t="shared" si="45"/>
        <v>0</v>
      </c>
      <c r="I764" s="552">
        <f t="shared" si="46"/>
        <v>0</v>
      </c>
      <c r="J764" s="552"/>
      <c r="K764" s="572"/>
      <c r="L764" s="556"/>
      <c r="M764" s="572"/>
      <c r="N764" s="556"/>
      <c r="O764" s="556"/>
    </row>
    <row r="765" spans="3:15">
      <c r="C765" s="548">
        <f>IF(D720="","-",+C764+1)</f>
        <v>2055</v>
      </c>
      <c r="D765" s="506">
        <f t="shared" si="42"/>
        <v>0</v>
      </c>
      <c r="E765" s="549">
        <f t="shared" si="47"/>
        <v>0</v>
      </c>
      <c r="F765" s="506">
        <f t="shared" si="43"/>
        <v>0</v>
      </c>
      <c r="G765" s="554">
        <f t="shared" si="44"/>
        <v>0</v>
      </c>
      <c r="H765" s="555">
        <f t="shared" si="45"/>
        <v>0</v>
      </c>
      <c r="I765" s="552">
        <f t="shared" si="46"/>
        <v>0</v>
      </c>
      <c r="J765" s="552"/>
      <c r="K765" s="572"/>
      <c r="L765" s="556"/>
      <c r="M765" s="572"/>
      <c r="N765" s="556"/>
      <c r="O765" s="556"/>
    </row>
    <row r="766" spans="3:15">
      <c r="C766" s="548">
        <f>IF(D720="","-",+C765+1)</f>
        <v>2056</v>
      </c>
      <c r="D766" s="506">
        <f t="shared" si="42"/>
        <v>0</v>
      </c>
      <c r="E766" s="549">
        <f t="shared" si="47"/>
        <v>0</v>
      </c>
      <c r="F766" s="506">
        <f t="shared" si="43"/>
        <v>0</v>
      </c>
      <c r="G766" s="554">
        <f t="shared" si="44"/>
        <v>0</v>
      </c>
      <c r="H766" s="555">
        <f t="shared" si="45"/>
        <v>0</v>
      </c>
      <c r="I766" s="552">
        <f t="shared" si="46"/>
        <v>0</v>
      </c>
      <c r="J766" s="552"/>
      <c r="K766" s="572"/>
      <c r="L766" s="556"/>
      <c r="M766" s="572"/>
      <c r="N766" s="556"/>
      <c r="O766" s="556"/>
    </row>
    <row r="767" spans="3:15">
      <c r="C767" s="548">
        <f>IF(D720="","-",+C766+1)</f>
        <v>2057</v>
      </c>
      <c r="D767" s="506">
        <f t="shared" si="42"/>
        <v>0</v>
      </c>
      <c r="E767" s="549">
        <f t="shared" si="47"/>
        <v>0</v>
      </c>
      <c r="F767" s="506">
        <f t="shared" si="43"/>
        <v>0</v>
      </c>
      <c r="G767" s="554">
        <f t="shared" si="44"/>
        <v>0</v>
      </c>
      <c r="H767" s="555">
        <f t="shared" si="45"/>
        <v>0</v>
      </c>
      <c r="I767" s="552">
        <f t="shared" si="46"/>
        <v>0</v>
      </c>
      <c r="J767" s="552"/>
      <c r="K767" s="572"/>
      <c r="L767" s="556"/>
      <c r="M767" s="572"/>
      <c r="N767" s="556"/>
      <c r="O767" s="556"/>
    </row>
    <row r="768" spans="3:15">
      <c r="C768" s="548">
        <f>IF(D720="","-",+C767+1)</f>
        <v>2058</v>
      </c>
      <c r="D768" s="506">
        <f t="shared" si="42"/>
        <v>0</v>
      </c>
      <c r="E768" s="549">
        <f t="shared" si="47"/>
        <v>0</v>
      </c>
      <c r="F768" s="506">
        <f t="shared" si="43"/>
        <v>0</v>
      </c>
      <c r="G768" s="554">
        <f t="shared" si="44"/>
        <v>0</v>
      </c>
      <c r="H768" s="555">
        <f t="shared" si="45"/>
        <v>0</v>
      </c>
      <c r="I768" s="552">
        <f t="shared" si="46"/>
        <v>0</v>
      </c>
      <c r="J768" s="552"/>
      <c r="K768" s="572"/>
      <c r="L768" s="556"/>
      <c r="M768" s="572"/>
      <c r="N768" s="556"/>
      <c r="O768" s="556"/>
    </row>
    <row r="769" spans="3:15">
      <c r="C769" s="548">
        <f>IF(D720="","-",+C768+1)</f>
        <v>2059</v>
      </c>
      <c r="D769" s="506">
        <f t="shared" si="42"/>
        <v>0</v>
      </c>
      <c r="E769" s="549">
        <f t="shared" si="47"/>
        <v>0</v>
      </c>
      <c r="F769" s="506">
        <f t="shared" si="43"/>
        <v>0</v>
      </c>
      <c r="G769" s="554">
        <f t="shared" si="44"/>
        <v>0</v>
      </c>
      <c r="H769" s="555">
        <f t="shared" si="45"/>
        <v>0</v>
      </c>
      <c r="I769" s="552">
        <f t="shared" si="46"/>
        <v>0</v>
      </c>
      <c r="J769" s="552"/>
      <c r="K769" s="572"/>
      <c r="L769" s="556"/>
      <c r="M769" s="572"/>
      <c r="N769" s="556"/>
      <c r="O769" s="556"/>
    </row>
    <row r="770" spans="3:15">
      <c r="C770" s="548">
        <f>IF(D720="","-",+C769+1)</f>
        <v>2060</v>
      </c>
      <c r="D770" s="506">
        <f t="shared" si="42"/>
        <v>0</v>
      </c>
      <c r="E770" s="549">
        <f t="shared" si="47"/>
        <v>0</v>
      </c>
      <c r="F770" s="506">
        <f t="shared" si="43"/>
        <v>0</v>
      </c>
      <c r="G770" s="554">
        <f t="shared" si="44"/>
        <v>0</v>
      </c>
      <c r="H770" s="555">
        <f t="shared" si="45"/>
        <v>0</v>
      </c>
      <c r="I770" s="552">
        <f t="shared" si="46"/>
        <v>0</v>
      </c>
      <c r="J770" s="552"/>
      <c r="K770" s="572"/>
      <c r="L770" s="556"/>
      <c r="M770" s="572"/>
      <c r="N770" s="556"/>
      <c r="O770" s="556"/>
    </row>
    <row r="771" spans="3:15">
      <c r="C771" s="548">
        <f>IF(D720="","-",+C770+1)</f>
        <v>2061</v>
      </c>
      <c r="D771" s="506">
        <f t="shared" si="42"/>
        <v>0</v>
      </c>
      <c r="E771" s="549">
        <f t="shared" si="47"/>
        <v>0</v>
      </c>
      <c r="F771" s="506">
        <f t="shared" si="43"/>
        <v>0</v>
      </c>
      <c r="G771" s="554">
        <f t="shared" si="44"/>
        <v>0</v>
      </c>
      <c r="H771" s="555">
        <f t="shared" si="45"/>
        <v>0</v>
      </c>
      <c r="I771" s="552">
        <f t="shared" si="46"/>
        <v>0</v>
      </c>
      <c r="J771" s="552"/>
      <c r="K771" s="572"/>
      <c r="L771" s="556"/>
      <c r="M771" s="572"/>
      <c r="N771" s="556"/>
      <c r="O771" s="556"/>
    </row>
    <row r="772" spans="3:15">
      <c r="C772" s="548">
        <f>IF(D720="","-",+C771+1)</f>
        <v>2062</v>
      </c>
      <c r="D772" s="506">
        <f t="shared" si="42"/>
        <v>0</v>
      </c>
      <c r="E772" s="549">
        <f t="shared" si="47"/>
        <v>0</v>
      </c>
      <c r="F772" s="506">
        <f t="shared" si="43"/>
        <v>0</v>
      </c>
      <c r="G772" s="554">
        <f t="shared" si="44"/>
        <v>0</v>
      </c>
      <c r="H772" s="555">
        <f t="shared" si="45"/>
        <v>0</v>
      </c>
      <c r="I772" s="552">
        <f t="shared" si="46"/>
        <v>0</v>
      </c>
      <c r="J772" s="552"/>
      <c r="K772" s="572"/>
      <c r="L772" s="556"/>
      <c r="M772" s="572"/>
      <c r="N772" s="556"/>
      <c r="O772" s="556"/>
    </row>
    <row r="773" spans="3:15">
      <c r="C773" s="548">
        <f>IF(D720="","-",+C772+1)</f>
        <v>2063</v>
      </c>
      <c r="D773" s="506">
        <f t="shared" si="42"/>
        <v>0</v>
      </c>
      <c r="E773" s="549">
        <f t="shared" si="47"/>
        <v>0</v>
      </c>
      <c r="F773" s="506">
        <f t="shared" si="43"/>
        <v>0</v>
      </c>
      <c r="G773" s="554">
        <f t="shared" si="44"/>
        <v>0</v>
      </c>
      <c r="H773" s="555">
        <f t="shared" si="45"/>
        <v>0</v>
      </c>
      <c r="I773" s="552">
        <f t="shared" si="46"/>
        <v>0</v>
      </c>
      <c r="J773" s="552"/>
      <c r="K773" s="572"/>
      <c r="L773" s="556"/>
      <c r="M773" s="572"/>
      <c r="N773" s="556"/>
      <c r="O773" s="556"/>
    </row>
    <row r="774" spans="3:15">
      <c r="C774" s="548">
        <f>IF(D720="","-",+C773+1)</f>
        <v>2064</v>
      </c>
      <c r="D774" s="506">
        <f t="shared" si="42"/>
        <v>0</v>
      </c>
      <c r="E774" s="549">
        <f t="shared" si="47"/>
        <v>0</v>
      </c>
      <c r="F774" s="506">
        <f t="shared" si="43"/>
        <v>0</v>
      </c>
      <c r="G774" s="554">
        <f t="shared" si="44"/>
        <v>0</v>
      </c>
      <c r="H774" s="555">
        <f t="shared" si="45"/>
        <v>0</v>
      </c>
      <c r="I774" s="552">
        <f t="shared" si="46"/>
        <v>0</v>
      </c>
      <c r="J774" s="552"/>
      <c r="K774" s="572"/>
      <c r="L774" s="556"/>
      <c r="M774" s="572"/>
      <c r="N774" s="556"/>
      <c r="O774" s="556"/>
    </row>
    <row r="775" spans="3:15">
      <c r="C775" s="548">
        <f>IF(D720="","-",+C774+1)</f>
        <v>2065</v>
      </c>
      <c r="D775" s="506">
        <f t="shared" si="42"/>
        <v>0</v>
      </c>
      <c r="E775" s="549">
        <f t="shared" si="47"/>
        <v>0</v>
      </c>
      <c r="F775" s="506">
        <f t="shared" si="43"/>
        <v>0</v>
      </c>
      <c r="G775" s="554">
        <f t="shared" si="44"/>
        <v>0</v>
      </c>
      <c r="H775" s="555">
        <f t="shared" si="45"/>
        <v>0</v>
      </c>
      <c r="I775" s="552">
        <f t="shared" si="46"/>
        <v>0</v>
      </c>
      <c r="J775" s="552"/>
      <c r="K775" s="572"/>
      <c r="L775" s="556"/>
      <c r="M775" s="572"/>
      <c r="N775" s="556"/>
      <c r="O775" s="556"/>
    </row>
    <row r="776" spans="3:15">
      <c r="C776" s="548">
        <f>IF(D720="","-",+C775+1)</f>
        <v>2066</v>
      </c>
      <c r="D776" s="506">
        <f t="shared" si="42"/>
        <v>0</v>
      </c>
      <c r="E776" s="549">
        <f t="shared" si="47"/>
        <v>0</v>
      </c>
      <c r="F776" s="506">
        <f t="shared" si="43"/>
        <v>0</v>
      </c>
      <c r="G776" s="554">
        <f t="shared" si="44"/>
        <v>0</v>
      </c>
      <c r="H776" s="555">
        <f t="shared" si="45"/>
        <v>0</v>
      </c>
      <c r="I776" s="552">
        <f t="shared" si="46"/>
        <v>0</v>
      </c>
      <c r="J776" s="552"/>
      <c r="K776" s="572"/>
      <c r="L776" s="556"/>
      <c r="M776" s="572"/>
      <c r="N776" s="556"/>
      <c r="O776" s="556"/>
    </row>
    <row r="777" spans="3:15">
      <c r="C777" s="548">
        <f>IF(D720="","-",+C776+1)</f>
        <v>2067</v>
      </c>
      <c r="D777" s="506">
        <f t="shared" si="42"/>
        <v>0</v>
      </c>
      <c r="E777" s="549">
        <f t="shared" si="47"/>
        <v>0</v>
      </c>
      <c r="F777" s="506">
        <f t="shared" si="43"/>
        <v>0</v>
      </c>
      <c r="G777" s="554">
        <f t="shared" si="44"/>
        <v>0</v>
      </c>
      <c r="H777" s="555">
        <f t="shared" si="45"/>
        <v>0</v>
      </c>
      <c r="I777" s="552">
        <f t="shared" si="46"/>
        <v>0</v>
      </c>
      <c r="J777" s="552"/>
      <c r="K777" s="572"/>
      <c r="L777" s="556"/>
      <c r="M777" s="572"/>
      <c r="N777" s="556"/>
      <c r="O777" s="556"/>
    </row>
    <row r="778" spans="3:15">
      <c r="C778" s="548">
        <f>IF(D720="","-",+C777+1)</f>
        <v>2068</v>
      </c>
      <c r="D778" s="506">
        <f t="shared" si="42"/>
        <v>0</v>
      </c>
      <c r="E778" s="549">
        <f t="shared" si="47"/>
        <v>0</v>
      </c>
      <c r="F778" s="506">
        <f t="shared" si="43"/>
        <v>0</v>
      </c>
      <c r="G778" s="554">
        <f t="shared" si="44"/>
        <v>0</v>
      </c>
      <c r="H778" s="555">
        <f t="shared" si="45"/>
        <v>0</v>
      </c>
      <c r="I778" s="552">
        <f t="shared" si="46"/>
        <v>0</v>
      </c>
      <c r="J778" s="552"/>
      <c r="K778" s="572"/>
      <c r="L778" s="556"/>
      <c r="M778" s="572"/>
      <c r="N778" s="556"/>
      <c r="O778" s="556"/>
    </row>
    <row r="779" spans="3:15">
      <c r="C779" s="548">
        <f>IF(D720="","-",+C778+1)</f>
        <v>2069</v>
      </c>
      <c r="D779" s="506">
        <f t="shared" si="42"/>
        <v>0</v>
      </c>
      <c r="E779" s="549">
        <f t="shared" si="47"/>
        <v>0</v>
      </c>
      <c r="F779" s="506">
        <f t="shared" si="43"/>
        <v>0</v>
      </c>
      <c r="G779" s="554">
        <f t="shared" si="44"/>
        <v>0</v>
      </c>
      <c r="H779" s="555">
        <f t="shared" si="45"/>
        <v>0</v>
      </c>
      <c r="I779" s="552">
        <f t="shared" si="46"/>
        <v>0</v>
      </c>
      <c r="J779" s="552"/>
      <c r="K779" s="572"/>
      <c r="L779" s="556"/>
      <c r="M779" s="572"/>
      <c r="N779" s="556"/>
      <c r="O779" s="556"/>
    </row>
    <row r="780" spans="3:15">
      <c r="C780" s="548">
        <f>IF(D720="","-",+C779+1)</f>
        <v>2070</v>
      </c>
      <c r="D780" s="506">
        <f t="shared" si="42"/>
        <v>0</v>
      </c>
      <c r="E780" s="549">
        <f t="shared" si="47"/>
        <v>0</v>
      </c>
      <c r="F780" s="506">
        <f t="shared" si="43"/>
        <v>0</v>
      </c>
      <c r="G780" s="554">
        <f t="shared" si="44"/>
        <v>0</v>
      </c>
      <c r="H780" s="555">
        <f t="shared" si="45"/>
        <v>0</v>
      </c>
      <c r="I780" s="552">
        <f t="shared" si="46"/>
        <v>0</v>
      </c>
      <c r="J780" s="552"/>
      <c r="K780" s="572"/>
      <c r="L780" s="556"/>
      <c r="M780" s="572"/>
      <c r="N780" s="556"/>
      <c r="O780" s="556"/>
    </row>
    <row r="781" spans="3:15">
      <c r="C781" s="548">
        <f>IF(D720="","-",+C780+1)</f>
        <v>2071</v>
      </c>
      <c r="D781" s="506">
        <f t="shared" si="42"/>
        <v>0</v>
      </c>
      <c r="E781" s="549">
        <f t="shared" si="47"/>
        <v>0</v>
      </c>
      <c r="F781" s="506">
        <f t="shared" si="43"/>
        <v>0</v>
      </c>
      <c r="G781" s="554">
        <f t="shared" si="44"/>
        <v>0</v>
      </c>
      <c r="H781" s="555">
        <f t="shared" si="45"/>
        <v>0</v>
      </c>
      <c r="I781" s="552">
        <f t="shared" si="46"/>
        <v>0</v>
      </c>
      <c r="J781" s="552"/>
      <c r="K781" s="572"/>
      <c r="L781" s="556"/>
      <c r="M781" s="572"/>
      <c r="N781" s="556"/>
      <c r="O781" s="556"/>
    </row>
    <row r="782" spans="3:15">
      <c r="C782" s="548">
        <f>IF(D720="","-",+C781+1)</f>
        <v>2072</v>
      </c>
      <c r="D782" s="506">
        <f t="shared" si="42"/>
        <v>0</v>
      </c>
      <c r="E782" s="549">
        <f t="shared" si="47"/>
        <v>0</v>
      </c>
      <c r="F782" s="506">
        <f t="shared" si="43"/>
        <v>0</v>
      </c>
      <c r="G782" s="554">
        <f t="shared" si="44"/>
        <v>0</v>
      </c>
      <c r="H782" s="555">
        <f t="shared" si="45"/>
        <v>0</v>
      </c>
      <c r="I782" s="552">
        <f t="shared" si="46"/>
        <v>0</v>
      </c>
      <c r="J782" s="552"/>
      <c r="K782" s="572"/>
      <c r="L782" s="556"/>
      <c r="M782" s="572"/>
      <c r="N782" s="556"/>
      <c r="O782" s="556"/>
    </row>
    <row r="783" spans="3:15">
      <c r="C783" s="548">
        <f>IF(D720="","-",+C782+1)</f>
        <v>2073</v>
      </c>
      <c r="D783" s="506">
        <f t="shared" si="42"/>
        <v>0</v>
      </c>
      <c r="E783" s="549">
        <f t="shared" si="47"/>
        <v>0</v>
      </c>
      <c r="F783" s="506">
        <f t="shared" si="43"/>
        <v>0</v>
      </c>
      <c r="G783" s="554">
        <f t="shared" si="44"/>
        <v>0</v>
      </c>
      <c r="H783" s="555">
        <f t="shared" si="45"/>
        <v>0</v>
      </c>
      <c r="I783" s="552">
        <f t="shared" si="46"/>
        <v>0</v>
      </c>
      <c r="J783" s="552"/>
      <c r="K783" s="572"/>
      <c r="L783" s="556"/>
      <c r="M783" s="572"/>
      <c r="N783" s="556"/>
      <c r="O783" s="556"/>
    </row>
    <row r="784" spans="3:15">
      <c r="C784" s="548">
        <f>IF(D720="","-",+C783+1)</f>
        <v>2074</v>
      </c>
      <c r="D784" s="506">
        <f t="shared" si="42"/>
        <v>0</v>
      </c>
      <c r="E784" s="549">
        <f t="shared" si="47"/>
        <v>0</v>
      </c>
      <c r="F784" s="506">
        <f t="shared" si="43"/>
        <v>0</v>
      </c>
      <c r="G784" s="554">
        <f t="shared" si="44"/>
        <v>0</v>
      </c>
      <c r="H784" s="555">
        <f t="shared" si="45"/>
        <v>0</v>
      </c>
      <c r="I784" s="552">
        <f t="shared" si="46"/>
        <v>0</v>
      </c>
      <c r="J784" s="552"/>
      <c r="K784" s="572"/>
      <c r="L784" s="556"/>
      <c r="M784" s="572"/>
      <c r="N784" s="556"/>
      <c r="O784" s="556"/>
    </row>
    <row r="785" spans="1:16" ht="13.5" thickBot="1">
      <c r="C785" s="558">
        <f>IF(D720="","-",+C784+1)</f>
        <v>2075</v>
      </c>
      <c r="D785" s="559">
        <f t="shared" si="42"/>
        <v>0</v>
      </c>
      <c r="E785" s="560">
        <f t="shared" si="47"/>
        <v>0</v>
      </c>
      <c r="F785" s="559">
        <f t="shared" si="43"/>
        <v>0</v>
      </c>
      <c r="G785" s="561">
        <f t="shared" si="44"/>
        <v>0</v>
      </c>
      <c r="H785" s="561">
        <f t="shared" si="45"/>
        <v>0</v>
      </c>
      <c r="I785" s="562">
        <f t="shared" si="46"/>
        <v>0</v>
      </c>
      <c r="J785" s="552"/>
      <c r="K785" s="573"/>
      <c r="L785" s="563"/>
      <c r="M785" s="573"/>
      <c r="N785" s="563"/>
      <c r="O785" s="563"/>
    </row>
    <row r="786" spans="1:16">
      <c r="C786" s="506" t="s">
        <v>91</v>
      </c>
      <c r="D786" s="503"/>
      <c r="E786" s="503">
        <f>SUM(E726:E785)</f>
        <v>62379701</v>
      </c>
      <c r="F786" s="503"/>
      <c r="G786" s="503">
        <f>SUM(G726:G785)</f>
        <v>193140367.74719736</v>
      </c>
      <c r="H786" s="503">
        <f>SUM(H726:H785)</f>
        <v>193140367.74719736</v>
      </c>
      <c r="I786" s="503">
        <f>SUM(I726:I785)</f>
        <v>0</v>
      </c>
      <c r="J786" s="503"/>
      <c r="K786" s="503"/>
      <c r="L786" s="503"/>
      <c r="M786" s="503"/>
      <c r="N786" s="503"/>
      <c r="O786" s="3"/>
    </row>
    <row r="787" spans="1:16">
      <c r="D787" s="47"/>
      <c r="E787" s="3"/>
      <c r="F787" s="3"/>
      <c r="G787" s="3"/>
      <c r="H787" s="490"/>
      <c r="I787" s="490"/>
      <c r="J787" s="503"/>
      <c r="K787" s="490"/>
      <c r="L787" s="490"/>
      <c r="M787" s="490"/>
      <c r="N787" s="490"/>
      <c r="O787" s="3"/>
    </row>
    <row r="788" spans="1:16">
      <c r="C788" s="3" t="s">
        <v>13</v>
      </c>
      <c r="D788" s="47"/>
      <c r="E788" s="3"/>
      <c r="F788" s="3"/>
      <c r="G788" s="3"/>
      <c r="H788" s="490"/>
      <c r="I788" s="490"/>
      <c r="J788" s="503"/>
      <c r="K788" s="490"/>
      <c r="L788" s="490"/>
      <c r="M788" s="490"/>
      <c r="N788" s="490"/>
      <c r="O788" s="3"/>
    </row>
    <row r="789" spans="1:16">
      <c r="C789" s="3"/>
      <c r="D789" s="47"/>
      <c r="E789" s="3"/>
      <c r="F789" s="3"/>
      <c r="G789" s="3"/>
      <c r="H789" s="490"/>
      <c r="I789" s="490"/>
      <c r="J789" s="503"/>
      <c r="K789" s="490"/>
      <c r="L789" s="490"/>
      <c r="M789" s="490"/>
      <c r="N789" s="490"/>
      <c r="O789" s="3"/>
    </row>
    <row r="790" spans="1:16">
      <c r="C790" s="518" t="s">
        <v>14</v>
      </c>
      <c r="D790" s="506"/>
      <c r="E790" s="506"/>
      <c r="F790" s="506"/>
      <c r="G790" s="503"/>
      <c r="H790" s="503"/>
      <c r="I790" s="564"/>
      <c r="J790" s="564"/>
      <c r="K790" s="564"/>
      <c r="L790" s="564"/>
      <c r="M790" s="564"/>
      <c r="N790" s="564"/>
      <c r="O790" s="3"/>
    </row>
    <row r="791" spans="1:16">
      <c r="C791" s="507" t="s">
        <v>271</v>
      </c>
      <c r="D791" s="506"/>
      <c r="E791" s="506"/>
      <c r="F791" s="506"/>
      <c r="G791" s="503"/>
      <c r="H791" s="503"/>
      <c r="I791" s="564"/>
      <c r="J791" s="564"/>
      <c r="K791" s="564"/>
      <c r="L791" s="564"/>
      <c r="M791" s="564"/>
      <c r="N791" s="564"/>
      <c r="O791" s="3"/>
    </row>
    <row r="792" spans="1:16">
      <c r="C792" s="507" t="s">
        <v>92</v>
      </c>
      <c r="D792" s="506"/>
      <c r="E792" s="506"/>
      <c r="F792" s="506"/>
      <c r="G792" s="503"/>
      <c r="H792" s="503"/>
      <c r="I792" s="564"/>
      <c r="J792" s="564"/>
      <c r="K792" s="564"/>
      <c r="L792" s="564"/>
      <c r="M792" s="564"/>
      <c r="N792" s="564"/>
      <c r="O792" s="3"/>
    </row>
    <row r="793" spans="1:16">
      <c r="C793" s="507"/>
      <c r="D793" s="506"/>
      <c r="E793" s="506"/>
      <c r="F793" s="506"/>
      <c r="G793" s="503"/>
      <c r="H793" s="503"/>
      <c r="I793" s="564"/>
      <c r="J793" s="564"/>
      <c r="K793" s="564"/>
      <c r="L793" s="564"/>
      <c r="M793" s="564"/>
      <c r="N793" s="564"/>
      <c r="O793" s="3"/>
    </row>
    <row r="794" spans="1:16">
      <c r="C794" s="1209" t="s">
        <v>6</v>
      </c>
      <c r="D794" s="1209"/>
      <c r="E794" s="1209"/>
      <c r="F794" s="1209"/>
      <c r="G794" s="1209"/>
      <c r="H794" s="1209"/>
      <c r="I794" s="1209"/>
      <c r="J794" s="1209"/>
      <c r="K794" s="1209"/>
      <c r="L794" s="1209"/>
      <c r="M794" s="1209"/>
      <c r="N794" s="1209"/>
      <c r="O794" s="1209"/>
    </row>
    <row r="795" spans="1:16">
      <c r="C795" s="1209"/>
      <c r="D795" s="1209"/>
      <c r="E795" s="1209"/>
      <c r="F795" s="1209"/>
      <c r="G795" s="1209"/>
      <c r="H795" s="1209"/>
      <c r="I795" s="1209"/>
      <c r="J795" s="1209"/>
      <c r="K795" s="1209"/>
      <c r="L795" s="1209"/>
      <c r="M795" s="1209"/>
      <c r="N795" s="1209"/>
      <c r="O795" s="1209"/>
    </row>
    <row r="796" spans="1:16" ht="20.25">
      <c r="A796" s="447" t="str">
        <f>""&amp;A720&amp;" Worksheet J -  ATRR PROJECTED Calculation for PJM Projects Charged to Benefiting Zones"</f>
        <v xml:space="preserve"> Worksheet J -  ATRR PROJECTED Calculation for PJM Projects Charged to Benefiting Zones</v>
      </c>
      <c r="B796" s="3"/>
      <c r="C796" s="3"/>
      <c r="D796" s="47"/>
      <c r="E796" s="3"/>
      <c r="F796" s="489"/>
      <c r="G796" s="3"/>
      <c r="H796" s="490"/>
      <c r="K796" s="398"/>
      <c r="L796" s="398"/>
      <c r="M796" s="398"/>
      <c r="N796" s="398" t="str">
        <f>"Page "&amp;SUM(P$8:P796)&amp;" of "</f>
        <v xml:space="preserve">Page 10 of </v>
      </c>
      <c r="O796" s="448">
        <f>COUNT(P$8:P$56656)</f>
        <v>11</v>
      </c>
      <c r="P796">
        <v>1</v>
      </c>
    </row>
    <row r="797" spans="1:16" ht="20.25">
      <c r="A797" s="447"/>
      <c r="B797" s="3"/>
      <c r="C797" s="3"/>
      <c r="D797" s="47"/>
      <c r="E797" s="3"/>
      <c r="F797" s="489"/>
      <c r="G797" s="3"/>
      <c r="H797" s="490"/>
      <c r="K797" s="398"/>
      <c r="L797" s="398"/>
      <c r="M797" s="398"/>
      <c r="N797" s="398"/>
      <c r="O797" s="448"/>
    </row>
    <row r="798" spans="1:16" ht="18">
      <c r="B798" s="449" t="s">
        <v>472</v>
      </c>
      <c r="C798" s="122" t="s">
        <v>93</v>
      </c>
      <c r="D798" s="47"/>
      <c r="E798" s="3"/>
      <c r="F798" s="3"/>
      <c r="G798" s="3"/>
      <c r="H798" s="490"/>
      <c r="I798" s="490"/>
      <c r="J798" s="503"/>
      <c r="K798" s="490"/>
      <c r="L798" s="490"/>
      <c r="M798" s="490"/>
      <c r="N798" s="490"/>
      <c r="O798" s="3"/>
    </row>
    <row r="799" spans="1:16" ht="18.75">
      <c r="B799" s="449"/>
      <c r="C799" s="6"/>
      <c r="D799" s="47"/>
      <c r="E799" s="3"/>
      <c r="F799" s="3"/>
      <c r="G799" s="3"/>
      <c r="H799" s="490"/>
      <c r="I799" s="490"/>
      <c r="J799" s="503"/>
      <c r="K799" s="490"/>
      <c r="L799" s="490"/>
      <c r="M799" s="490"/>
      <c r="N799" s="490"/>
      <c r="O799" s="3"/>
    </row>
    <row r="800" spans="1:16" ht="18.75">
      <c r="B800" s="449"/>
      <c r="C800" s="6" t="s">
        <v>94</v>
      </c>
      <c r="D800" s="47"/>
      <c r="E800" s="3"/>
      <c r="F800" s="3"/>
      <c r="G800" s="3"/>
      <c r="H800" s="490"/>
      <c r="I800" s="490"/>
      <c r="J800" s="503"/>
      <c r="K800" s="490"/>
      <c r="L800" s="490"/>
      <c r="M800" s="490"/>
      <c r="N800" s="490"/>
      <c r="O800" s="3"/>
    </row>
    <row r="801" spans="2:15" ht="15.75" thickBot="1">
      <c r="C801" s="132"/>
      <c r="D801" s="47"/>
      <c r="E801" s="3"/>
      <c r="F801" s="3"/>
      <c r="G801" s="3"/>
      <c r="H801" s="490"/>
      <c r="I801" s="490"/>
      <c r="J801" s="503"/>
      <c r="K801" s="490"/>
      <c r="L801" s="490"/>
      <c r="M801" s="490"/>
      <c r="N801" s="490"/>
      <c r="O801" s="3"/>
    </row>
    <row r="802" spans="2:15" ht="15.75">
      <c r="C802" s="451" t="s">
        <v>95</v>
      </c>
      <c r="D802" s="47"/>
      <c r="E802" s="3"/>
      <c r="F802" s="3"/>
      <c r="G802" s="566"/>
      <c r="H802" s="3" t="s">
        <v>74</v>
      </c>
      <c r="I802" s="3"/>
      <c r="J802" s="3"/>
      <c r="K802" s="509" t="s">
        <v>99</v>
      </c>
      <c r="L802" s="510"/>
      <c r="M802" s="511"/>
      <c r="N802" s="512">
        <f>IF(I808=0,0,VLOOKUP(I808,C815:O874,5))</f>
        <v>3671340.6902581709</v>
      </c>
      <c r="O802" s="3"/>
    </row>
    <row r="803" spans="2:15" ht="15.75">
      <c r="C803" s="451"/>
      <c r="D803" s="47"/>
      <c r="E803" s="3"/>
      <c r="F803" s="3"/>
      <c r="G803" s="3"/>
      <c r="H803" s="513"/>
      <c r="I803" s="513"/>
      <c r="J803" s="514"/>
      <c r="K803" s="515" t="s">
        <v>100</v>
      </c>
      <c r="L803" s="516"/>
      <c r="M803" s="3"/>
      <c r="N803" s="517">
        <f>IF(I808=0,0,VLOOKUP(I808,C815:O874,6))</f>
        <v>3671340.6902581709</v>
      </c>
      <c r="O803" s="3"/>
    </row>
    <row r="804" spans="2:15" ht="13.5" thickBot="1">
      <c r="C804" s="518" t="s">
        <v>96</v>
      </c>
      <c r="D804" s="1210" t="s">
        <v>823</v>
      </c>
      <c r="E804" s="1210"/>
      <c r="F804" s="1210"/>
      <c r="G804" s="1210"/>
      <c r="H804" s="1210"/>
      <c r="I804" s="1210"/>
      <c r="J804" s="503"/>
      <c r="K804" s="519" t="s">
        <v>238</v>
      </c>
      <c r="L804" s="520"/>
      <c r="M804" s="520"/>
      <c r="N804" s="521">
        <f>+N803-N802</f>
        <v>0</v>
      </c>
      <c r="O804" s="3"/>
    </row>
    <row r="805" spans="2:15">
      <c r="C805" s="522"/>
      <c r="D805" s="1210"/>
      <c r="E805" s="1210"/>
      <c r="F805" s="1210"/>
      <c r="G805" s="1210"/>
      <c r="H805" s="1210"/>
      <c r="I805" s="1210"/>
      <c r="J805" s="503"/>
      <c r="K805" s="490"/>
      <c r="L805" s="490"/>
      <c r="M805" s="490"/>
      <c r="N805" s="490"/>
      <c r="O805" s="3"/>
    </row>
    <row r="806" spans="2:15" ht="13.5" thickBot="1">
      <c r="C806" s="522"/>
      <c r="D806" s="3"/>
      <c r="E806" s="524"/>
      <c r="F806" s="524"/>
      <c r="G806" s="524"/>
      <c r="H806" s="524"/>
      <c r="I806" s="524"/>
      <c r="J806" s="524"/>
      <c r="K806" s="524"/>
      <c r="L806" s="524"/>
      <c r="M806" s="524"/>
      <c r="N806" s="524"/>
      <c r="O806" s="3"/>
    </row>
    <row r="807" spans="2:15" ht="13.5" thickBot="1">
      <c r="C807" s="525" t="s">
        <v>97</v>
      </c>
      <c r="D807" s="526"/>
      <c r="E807" s="526"/>
      <c r="F807" s="526"/>
      <c r="G807" s="526"/>
      <c r="H807" s="526"/>
      <c r="I807" s="527"/>
      <c r="K807" s="3"/>
      <c r="L807" s="3"/>
      <c r="M807" s="3"/>
      <c r="N807" s="3"/>
      <c r="O807" s="3"/>
    </row>
    <row r="808" spans="2:15" ht="15">
      <c r="C808" s="528" t="s">
        <v>75</v>
      </c>
      <c r="D808" s="957">
        <v>32177046</v>
      </c>
      <c r="E808" s="3" t="s">
        <v>76</v>
      </c>
      <c r="G808" s="47"/>
      <c r="H808" s="47"/>
      <c r="I808" s="529">
        <f>$L$26</f>
        <v>2025</v>
      </c>
      <c r="J808" s="70"/>
      <c r="K808" s="1211" t="s">
        <v>247</v>
      </c>
      <c r="L808" s="1211"/>
      <c r="M808" s="1211"/>
      <c r="N808" s="1211"/>
      <c r="O808" s="1211"/>
    </row>
    <row r="809" spans="2:15">
      <c r="C809" s="528" t="s">
        <v>78</v>
      </c>
      <c r="D809" s="569">
        <v>2017</v>
      </c>
      <c r="E809" s="528" t="s">
        <v>79</v>
      </c>
      <c r="F809" s="47"/>
      <c r="H809"/>
      <c r="I809" s="570">
        <f>IF(G802="",0,$F$17)</f>
        <v>0</v>
      </c>
      <c r="J809" s="530"/>
      <c r="K809" s="503" t="s">
        <v>247</v>
      </c>
    </row>
    <row r="810" spans="2:15">
      <c r="C810" s="528" t="s">
        <v>80</v>
      </c>
      <c r="D810" s="958">
        <v>8</v>
      </c>
      <c r="E810" s="528" t="s">
        <v>81</v>
      </c>
      <c r="F810" s="47"/>
      <c r="H810"/>
      <c r="I810" s="531">
        <f>$G$70</f>
        <v>0.11032660055737779</v>
      </c>
      <c r="J810" s="489"/>
      <c r="K810" t="str">
        <f>"          INPUT PROJECTED ARR (WITH &amp; WITHOUT INCENTIVES) FROM EACH PRIOR YEAR"</f>
        <v xml:space="preserve">          INPUT PROJECTED ARR (WITH &amp; WITHOUT INCENTIVES) FROM EACH PRIOR YEAR</v>
      </c>
    </row>
    <row r="811" spans="2:15">
      <c r="C811" s="528" t="s">
        <v>82</v>
      </c>
      <c r="D811" s="532">
        <f>$G$79</f>
        <v>36</v>
      </c>
      <c r="E811" s="528" t="s">
        <v>83</v>
      </c>
      <c r="F811" s="47"/>
      <c r="H811"/>
      <c r="I811" s="531">
        <f>IF(G802="",I810,$G$69)</f>
        <v>0.11032660055737779</v>
      </c>
      <c r="J811" s="489"/>
      <c r="K811" t="s">
        <v>160</v>
      </c>
    </row>
    <row r="812" spans="2:15" ht="13.5" thickBot="1">
      <c r="C812" s="528" t="s">
        <v>84</v>
      </c>
      <c r="D812" s="567" t="s">
        <v>812</v>
      </c>
      <c r="E812" s="533" t="s">
        <v>85</v>
      </c>
      <c r="F812" s="534"/>
      <c r="G812" s="535"/>
      <c r="H812" s="535"/>
      <c r="I812" s="521">
        <f>IF(D808=0,0,D808/D811)</f>
        <v>893806.83333333337</v>
      </c>
      <c r="J812" s="503"/>
      <c r="K812" s="503" t="s">
        <v>166</v>
      </c>
      <c r="L812" s="503"/>
      <c r="M812" s="503"/>
      <c r="N812" s="503"/>
      <c r="O812" s="3"/>
    </row>
    <row r="813" spans="2:15" ht="51">
      <c r="B813" s="450"/>
      <c r="C813" s="536" t="s">
        <v>75</v>
      </c>
      <c r="D813" s="537" t="s">
        <v>86</v>
      </c>
      <c r="E813" s="538" t="s">
        <v>87</v>
      </c>
      <c r="F813" s="537" t="s">
        <v>88</v>
      </c>
      <c r="G813" s="538" t="s">
        <v>159</v>
      </c>
      <c r="H813" s="539" t="s">
        <v>159</v>
      </c>
      <c r="I813" s="536" t="s">
        <v>98</v>
      </c>
      <c r="J813" s="540"/>
      <c r="K813" s="538" t="s">
        <v>168</v>
      </c>
      <c r="L813" s="541"/>
      <c r="M813" s="538" t="s">
        <v>168</v>
      </c>
      <c r="N813" s="541"/>
      <c r="O813" s="541"/>
    </row>
    <row r="814" spans="2:15" ht="13.5" thickBot="1">
      <c r="C814" s="542" t="s">
        <v>475</v>
      </c>
      <c r="D814" s="543" t="s">
        <v>476</v>
      </c>
      <c r="E814" s="542" t="s">
        <v>369</v>
      </c>
      <c r="F814" s="543" t="s">
        <v>476</v>
      </c>
      <c r="G814" s="544" t="s">
        <v>101</v>
      </c>
      <c r="H814" s="545" t="s">
        <v>103</v>
      </c>
      <c r="I814" s="542" t="s">
        <v>15</v>
      </c>
      <c r="J814" s="546"/>
      <c r="K814" s="544" t="s">
        <v>90</v>
      </c>
      <c r="L814" s="547"/>
      <c r="M814" s="544" t="s">
        <v>103</v>
      </c>
      <c r="N814" s="547"/>
      <c r="O814" s="547"/>
    </row>
    <row r="815" spans="2:15">
      <c r="C815" s="548">
        <f>IF(D809= "","-",D809)</f>
        <v>2017</v>
      </c>
      <c r="D815" s="506">
        <f>+D808</f>
        <v>32177046</v>
      </c>
      <c r="E815" s="549">
        <f>+I812/12*(12-D810)</f>
        <v>297935.61111111112</v>
      </c>
      <c r="F815" s="506">
        <f>+D815-E815</f>
        <v>31879110.388888888</v>
      </c>
      <c r="G815" s="731">
        <f>+$I$96*((D815+F815)/2)+E815</f>
        <v>3831484.6006900449</v>
      </c>
      <c r="H815" s="732">
        <f>$I$97*((D815+F815)/2)+E815</f>
        <v>3831484.6006900449</v>
      </c>
      <c r="I815" s="552">
        <f>+H815-G815</f>
        <v>0</v>
      </c>
      <c r="J815" s="552"/>
      <c r="K815" s="571">
        <v>3283917</v>
      </c>
      <c r="L815" s="553"/>
      <c r="M815" s="571">
        <v>3283917</v>
      </c>
      <c r="N815" s="553"/>
      <c r="O815" s="553"/>
    </row>
    <row r="816" spans="2:15">
      <c r="C816" s="966">
        <f>IF(D809="","-",+C815+1)</f>
        <v>2018</v>
      </c>
      <c r="D816" s="506">
        <f t="shared" ref="D816:D874" si="48">F815</f>
        <v>31879110.388888888</v>
      </c>
      <c r="E816" s="549">
        <f>IF(D816&gt;$I$812,$I$812,D816)</f>
        <v>893806.83333333337</v>
      </c>
      <c r="F816" s="506">
        <f t="shared" ref="F816:F874" si="49">+D816-E816</f>
        <v>30985303.555555556</v>
      </c>
      <c r="G816" s="554">
        <f t="shared" ref="G816:G874" si="50">+$I$96*((D816+F816)/2)+E816</f>
        <v>4361615.3765945202</v>
      </c>
      <c r="H816" s="555">
        <f t="shared" ref="H816:H874" si="51">$I$97*((D816+F816)/2)+E816</f>
        <v>4361615.3765945202</v>
      </c>
      <c r="I816" s="552">
        <f t="shared" ref="I816:I874" si="52">+H816-G816</f>
        <v>0</v>
      </c>
      <c r="J816" s="552"/>
      <c r="K816" s="572">
        <v>3670194</v>
      </c>
      <c r="L816" s="556"/>
      <c r="M816" s="572">
        <v>3670194</v>
      </c>
      <c r="N816" s="556"/>
      <c r="O816" s="556"/>
    </row>
    <row r="817" spans="3:15">
      <c r="C817" s="956">
        <f>IF(D809="","-",+C816+1)</f>
        <v>2019</v>
      </c>
      <c r="D817" s="506">
        <f t="shared" si="48"/>
        <v>30985303.555555556</v>
      </c>
      <c r="E817" s="549">
        <f t="shared" ref="E817:E874" si="53">IF(D817&gt;$I$812,$I$812,D817)</f>
        <v>893806.83333333337</v>
      </c>
      <c r="F817" s="506">
        <f t="shared" si="49"/>
        <v>30091496.722222224</v>
      </c>
      <c r="G817" s="554">
        <f t="shared" si="50"/>
        <v>4263004.7071178984</v>
      </c>
      <c r="H817" s="555">
        <f t="shared" si="51"/>
        <v>4263004.7071178984</v>
      </c>
      <c r="I817" s="552">
        <f t="shared" si="52"/>
        <v>0</v>
      </c>
      <c r="J817" s="552"/>
      <c r="K817" s="572"/>
      <c r="L817" s="556"/>
      <c r="M817" s="572"/>
      <c r="N817" s="556"/>
      <c r="O817" s="556"/>
    </row>
    <row r="818" spans="3:15">
      <c r="C818" s="548">
        <f>IF(D809="","-",+C817+1)</f>
        <v>2020</v>
      </c>
      <c r="D818" s="506">
        <f t="shared" si="48"/>
        <v>30091496.722222224</v>
      </c>
      <c r="E818" s="549">
        <f t="shared" si="53"/>
        <v>893806.83333333337</v>
      </c>
      <c r="F818" s="506">
        <f t="shared" si="49"/>
        <v>29197689.888888892</v>
      </c>
      <c r="G818" s="554">
        <f t="shared" si="50"/>
        <v>4164394.0376412775</v>
      </c>
      <c r="H818" s="555">
        <f t="shared" si="51"/>
        <v>4164394.0376412775</v>
      </c>
      <c r="I818" s="552">
        <f t="shared" si="52"/>
        <v>0</v>
      </c>
      <c r="J818" s="552"/>
      <c r="K818" s="572"/>
      <c r="L818" s="556"/>
      <c r="M818" s="572"/>
      <c r="N818" s="556"/>
      <c r="O818" s="556"/>
    </row>
    <row r="819" spans="3:15">
      <c r="C819" s="548">
        <f>IF(D809="","-",+C818+1)</f>
        <v>2021</v>
      </c>
      <c r="D819" s="506">
        <f t="shared" si="48"/>
        <v>29197689.888888892</v>
      </c>
      <c r="E819" s="549">
        <f t="shared" si="53"/>
        <v>893806.83333333337</v>
      </c>
      <c r="F819" s="506">
        <f t="shared" si="49"/>
        <v>28303883.05555556</v>
      </c>
      <c r="G819" s="554">
        <f t="shared" si="50"/>
        <v>4065783.3681646558</v>
      </c>
      <c r="H819" s="555">
        <f t="shared" si="51"/>
        <v>4065783.3681646558</v>
      </c>
      <c r="I819" s="552">
        <f t="shared" si="52"/>
        <v>0</v>
      </c>
      <c r="J819" s="552"/>
      <c r="K819" s="572"/>
      <c r="L819" s="556"/>
      <c r="M819" s="572"/>
      <c r="N819" s="556"/>
      <c r="O819" s="556"/>
    </row>
    <row r="820" spans="3:15">
      <c r="C820" s="548">
        <f>IF(D809="","-",+C819+1)</f>
        <v>2022</v>
      </c>
      <c r="D820" s="506">
        <f t="shared" si="48"/>
        <v>28303883.05555556</v>
      </c>
      <c r="E820" s="549">
        <f t="shared" si="53"/>
        <v>893806.83333333337</v>
      </c>
      <c r="F820" s="506">
        <f t="shared" si="49"/>
        <v>27410076.222222228</v>
      </c>
      <c r="G820" s="554">
        <f t="shared" si="50"/>
        <v>3967172.6986880349</v>
      </c>
      <c r="H820" s="555">
        <f t="shared" si="51"/>
        <v>3967172.6986880349</v>
      </c>
      <c r="I820" s="552">
        <f t="shared" si="52"/>
        <v>0</v>
      </c>
      <c r="J820" s="552"/>
      <c r="K820" s="572"/>
      <c r="L820" s="556"/>
      <c r="M820" s="572"/>
      <c r="N820" s="556"/>
      <c r="O820" s="556"/>
    </row>
    <row r="821" spans="3:15">
      <c r="C821" s="548">
        <f>IF(D809="","-",+C820+1)</f>
        <v>2023</v>
      </c>
      <c r="D821" s="506">
        <f t="shared" si="48"/>
        <v>27410076.222222228</v>
      </c>
      <c r="E821" s="549">
        <f t="shared" si="53"/>
        <v>893806.83333333337</v>
      </c>
      <c r="F821" s="506">
        <f t="shared" si="49"/>
        <v>26516269.388888896</v>
      </c>
      <c r="G821" s="554">
        <f t="shared" si="50"/>
        <v>3868562.0292114131</v>
      </c>
      <c r="H821" s="555">
        <f t="shared" si="51"/>
        <v>3868562.0292114131</v>
      </c>
      <c r="I821" s="552">
        <f t="shared" si="52"/>
        <v>0</v>
      </c>
      <c r="J821" s="552"/>
      <c r="K821" s="572"/>
      <c r="L821" s="556"/>
      <c r="M821" s="572"/>
      <c r="N821" s="556"/>
      <c r="O821" s="556"/>
    </row>
    <row r="822" spans="3:15">
      <c r="C822" s="548">
        <f>IF(D809="","-",+C821+1)</f>
        <v>2024</v>
      </c>
      <c r="D822" s="506">
        <f t="shared" si="48"/>
        <v>26516269.388888896</v>
      </c>
      <c r="E822" s="549">
        <f t="shared" si="53"/>
        <v>893806.83333333337</v>
      </c>
      <c r="F822" s="506">
        <f t="shared" si="49"/>
        <v>25622462.555555563</v>
      </c>
      <c r="G822" s="554">
        <f t="shared" si="50"/>
        <v>3769951.3597347923</v>
      </c>
      <c r="H822" s="555">
        <f t="shared" si="51"/>
        <v>3769951.3597347923</v>
      </c>
      <c r="I822" s="552">
        <f t="shared" si="52"/>
        <v>0</v>
      </c>
      <c r="J822" s="552"/>
      <c r="K822" s="572"/>
      <c r="L822" s="556"/>
      <c r="M822" s="572"/>
      <c r="N822" s="556"/>
      <c r="O822" s="556"/>
    </row>
    <row r="823" spans="3:15">
      <c r="C823" s="548">
        <f>IF(D809="","-",+C822+1)</f>
        <v>2025</v>
      </c>
      <c r="D823" s="506">
        <f t="shared" si="48"/>
        <v>25622462.555555563</v>
      </c>
      <c r="E823" s="549">
        <f t="shared" si="53"/>
        <v>893806.83333333337</v>
      </c>
      <c r="F823" s="506">
        <f t="shared" si="49"/>
        <v>24728655.722222231</v>
      </c>
      <c r="G823" s="554">
        <f t="shared" si="50"/>
        <v>3671340.6902581709</v>
      </c>
      <c r="H823" s="555">
        <f t="shared" si="51"/>
        <v>3671340.6902581709</v>
      </c>
      <c r="I823" s="552">
        <f t="shared" si="52"/>
        <v>0</v>
      </c>
      <c r="J823" s="552"/>
      <c r="K823" s="572"/>
      <c r="L823" s="556"/>
      <c r="M823" s="572"/>
      <c r="N823" s="556"/>
      <c r="O823" s="556"/>
    </row>
    <row r="824" spans="3:15">
      <c r="C824" s="548">
        <f>IF(D809="","-",+C823+1)</f>
        <v>2026</v>
      </c>
      <c r="D824" s="506">
        <f t="shared" si="48"/>
        <v>24728655.722222231</v>
      </c>
      <c r="E824" s="549">
        <f t="shared" si="53"/>
        <v>893806.83333333337</v>
      </c>
      <c r="F824" s="506">
        <f t="shared" si="49"/>
        <v>23834848.888888899</v>
      </c>
      <c r="G824" s="554">
        <f t="shared" si="50"/>
        <v>3572730.0207815496</v>
      </c>
      <c r="H824" s="555">
        <f t="shared" si="51"/>
        <v>3572730.0207815496</v>
      </c>
      <c r="I824" s="552">
        <f t="shared" si="52"/>
        <v>0</v>
      </c>
      <c r="J824" s="552"/>
      <c r="K824" s="572"/>
      <c r="L824" s="556"/>
      <c r="M824" s="572"/>
      <c r="N824" s="556"/>
      <c r="O824" s="556"/>
    </row>
    <row r="825" spans="3:15">
      <c r="C825" s="548">
        <f>IF(D809="","-",+C824+1)</f>
        <v>2027</v>
      </c>
      <c r="D825" s="506">
        <f t="shared" si="48"/>
        <v>23834848.888888899</v>
      </c>
      <c r="E825" s="549">
        <f t="shared" si="53"/>
        <v>893806.83333333337</v>
      </c>
      <c r="F825" s="506">
        <f t="shared" si="49"/>
        <v>22941042.055555567</v>
      </c>
      <c r="G825" s="554">
        <f t="shared" si="50"/>
        <v>3474119.3513049283</v>
      </c>
      <c r="H825" s="555">
        <f t="shared" si="51"/>
        <v>3474119.3513049283</v>
      </c>
      <c r="I825" s="552">
        <f t="shared" si="52"/>
        <v>0</v>
      </c>
      <c r="J825" s="552"/>
      <c r="K825" s="572"/>
      <c r="L825" s="556"/>
      <c r="M825" s="572"/>
      <c r="N825" s="556"/>
      <c r="O825" s="556"/>
    </row>
    <row r="826" spans="3:15">
      <c r="C826" s="548">
        <f>IF(D809="","-",+C825+1)</f>
        <v>2028</v>
      </c>
      <c r="D826" s="506">
        <f t="shared" si="48"/>
        <v>22941042.055555567</v>
      </c>
      <c r="E826" s="549">
        <f t="shared" si="53"/>
        <v>893806.83333333337</v>
      </c>
      <c r="F826" s="506">
        <f t="shared" si="49"/>
        <v>22047235.222222235</v>
      </c>
      <c r="G826" s="554">
        <f t="shared" si="50"/>
        <v>3375508.6818283075</v>
      </c>
      <c r="H826" s="555">
        <f t="shared" si="51"/>
        <v>3375508.6818283075</v>
      </c>
      <c r="I826" s="552">
        <f t="shared" si="52"/>
        <v>0</v>
      </c>
      <c r="J826" s="552"/>
      <c r="K826" s="572"/>
      <c r="L826" s="556"/>
      <c r="M826" s="572"/>
      <c r="N826" s="556"/>
      <c r="O826" s="556"/>
    </row>
    <row r="827" spans="3:15">
      <c r="C827" s="548">
        <f>IF(D809="","-",+C826+1)</f>
        <v>2029</v>
      </c>
      <c r="D827" s="506">
        <f t="shared" si="48"/>
        <v>22047235.222222235</v>
      </c>
      <c r="E827" s="549">
        <f t="shared" si="53"/>
        <v>893806.83333333337</v>
      </c>
      <c r="F827" s="506">
        <f t="shared" si="49"/>
        <v>21153428.388888903</v>
      </c>
      <c r="G827" s="554">
        <f t="shared" si="50"/>
        <v>3276898.0123516857</v>
      </c>
      <c r="H827" s="555">
        <f t="shared" si="51"/>
        <v>3276898.0123516857</v>
      </c>
      <c r="I827" s="552">
        <f t="shared" si="52"/>
        <v>0</v>
      </c>
      <c r="J827" s="552"/>
      <c r="K827" s="572"/>
      <c r="L827" s="556"/>
      <c r="M827" s="572"/>
      <c r="N827" s="557"/>
      <c r="O827" s="556"/>
    </row>
    <row r="828" spans="3:15">
      <c r="C828" s="548">
        <f>IF(D809="","-",+C827+1)</f>
        <v>2030</v>
      </c>
      <c r="D828" s="506">
        <f t="shared" si="48"/>
        <v>21153428.388888903</v>
      </c>
      <c r="E828" s="549">
        <f t="shared" si="53"/>
        <v>893806.83333333337</v>
      </c>
      <c r="F828" s="506">
        <f t="shared" si="49"/>
        <v>20259621.555555571</v>
      </c>
      <c r="G828" s="554">
        <f t="shared" si="50"/>
        <v>3178287.3428750648</v>
      </c>
      <c r="H828" s="555">
        <f t="shared" si="51"/>
        <v>3178287.3428750648</v>
      </c>
      <c r="I828" s="552">
        <f t="shared" si="52"/>
        <v>0</v>
      </c>
      <c r="J828" s="552"/>
      <c r="K828" s="572"/>
      <c r="L828" s="556"/>
      <c r="M828" s="572"/>
      <c r="N828" s="556"/>
      <c r="O828" s="556"/>
    </row>
    <row r="829" spans="3:15">
      <c r="C829" s="548">
        <f>IF(D809="","-",+C828+1)</f>
        <v>2031</v>
      </c>
      <c r="D829" s="506">
        <f t="shared" si="48"/>
        <v>20259621.555555571</v>
      </c>
      <c r="E829" s="549">
        <f t="shared" si="53"/>
        <v>893806.83333333337</v>
      </c>
      <c r="F829" s="506">
        <f t="shared" si="49"/>
        <v>19365814.722222239</v>
      </c>
      <c r="G829" s="554">
        <f t="shared" si="50"/>
        <v>3079676.673398443</v>
      </c>
      <c r="H829" s="555">
        <f t="shared" si="51"/>
        <v>3079676.673398443</v>
      </c>
      <c r="I829" s="552">
        <f t="shared" si="52"/>
        <v>0</v>
      </c>
      <c r="J829" s="552"/>
      <c r="K829" s="572"/>
      <c r="L829" s="556"/>
      <c r="M829" s="572"/>
      <c r="N829" s="556"/>
      <c r="O829" s="556"/>
    </row>
    <row r="830" spans="3:15">
      <c r="C830" s="548">
        <f>IF(D809="","-",+C829+1)</f>
        <v>2032</v>
      </c>
      <c r="D830" s="506">
        <f t="shared" si="48"/>
        <v>19365814.722222239</v>
      </c>
      <c r="E830" s="549">
        <f t="shared" si="53"/>
        <v>893806.83333333337</v>
      </c>
      <c r="F830" s="506">
        <f t="shared" si="49"/>
        <v>18472007.888888907</v>
      </c>
      <c r="G830" s="554">
        <f t="shared" si="50"/>
        <v>2981066.0039218222</v>
      </c>
      <c r="H830" s="555">
        <f t="shared" si="51"/>
        <v>2981066.0039218222</v>
      </c>
      <c r="I830" s="552">
        <f t="shared" si="52"/>
        <v>0</v>
      </c>
      <c r="J830" s="552"/>
      <c r="K830" s="572"/>
      <c r="L830" s="556"/>
      <c r="M830" s="572"/>
      <c r="N830" s="556"/>
      <c r="O830" s="556"/>
    </row>
    <row r="831" spans="3:15">
      <c r="C831" s="548">
        <f>IF(D809="","-",+C830+1)</f>
        <v>2033</v>
      </c>
      <c r="D831" s="506">
        <f t="shared" si="48"/>
        <v>18472007.888888907</v>
      </c>
      <c r="E831" s="549">
        <f t="shared" si="53"/>
        <v>893806.83333333337</v>
      </c>
      <c r="F831" s="506">
        <f t="shared" si="49"/>
        <v>17578201.055555575</v>
      </c>
      <c r="G831" s="554">
        <f t="shared" si="50"/>
        <v>2882455.3344452004</v>
      </c>
      <c r="H831" s="555">
        <f t="shared" si="51"/>
        <v>2882455.3344452004</v>
      </c>
      <c r="I831" s="552">
        <f t="shared" si="52"/>
        <v>0</v>
      </c>
      <c r="J831" s="552"/>
      <c r="K831" s="572"/>
      <c r="L831" s="556"/>
      <c r="M831" s="572"/>
      <c r="N831" s="556"/>
      <c r="O831" s="556"/>
    </row>
    <row r="832" spans="3:15">
      <c r="C832" s="548">
        <f>IF(D809="","-",+C831+1)</f>
        <v>2034</v>
      </c>
      <c r="D832" s="506">
        <f t="shared" si="48"/>
        <v>17578201.055555575</v>
      </c>
      <c r="E832" s="549">
        <f t="shared" si="53"/>
        <v>893806.83333333337</v>
      </c>
      <c r="F832" s="506">
        <f t="shared" si="49"/>
        <v>16684394.222222241</v>
      </c>
      <c r="G832" s="554">
        <f t="shared" si="50"/>
        <v>2783844.6649685791</v>
      </c>
      <c r="H832" s="555">
        <f t="shared" si="51"/>
        <v>2783844.6649685791</v>
      </c>
      <c r="I832" s="552">
        <f t="shared" si="52"/>
        <v>0</v>
      </c>
      <c r="J832" s="552"/>
      <c r="K832" s="572"/>
      <c r="L832" s="556"/>
      <c r="M832" s="572"/>
      <c r="N832" s="556"/>
      <c r="O832" s="556"/>
    </row>
    <row r="833" spans="3:15">
      <c r="C833" s="548">
        <f>IF(D809="","-",+C832+1)</f>
        <v>2035</v>
      </c>
      <c r="D833" s="506">
        <f t="shared" si="48"/>
        <v>16684394.222222241</v>
      </c>
      <c r="E833" s="549">
        <f t="shared" si="53"/>
        <v>893806.83333333337</v>
      </c>
      <c r="F833" s="506">
        <f t="shared" si="49"/>
        <v>15790587.388888907</v>
      </c>
      <c r="G833" s="554">
        <f t="shared" si="50"/>
        <v>2685233.9954919578</v>
      </c>
      <c r="H833" s="555">
        <f t="shared" si="51"/>
        <v>2685233.9954919578</v>
      </c>
      <c r="I833" s="552">
        <f t="shared" si="52"/>
        <v>0</v>
      </c>
      <c r="J833" s="552"/>
      <c r="K833" s="572"/>
      <c r="L833" s="556"/>
      <c r="M833" s="572"/>
      <c r="N833" s="556"/>
      <c r="O833" s="556"/>
    </row>
    <row r="834" spans="3:15">
      <c r="C834" s="548">
        <f>IF(D809="","-",+C833+1)</f>
        <v>2036</v>
      </c>
      <c r="D834" s="506">
        <f t="shared" si="48"/>
        <v>15790587.388888907</v>
      </c>
      <c r="E834" s="549">
        <f t="shared" si="53"/>
        <v>893806.83333333337</v>
      </c>
      <c r="F834" s="506">
        <f t="shared" si="49"/>
        <v>14896780.555555573</v>
      </c>
      <c r="G834" s="554">
        <f t="shared" si="50"/>
        <v>2586623.326015336</v>
      </c>
      <c r="H834" s="555">
        <f t="shared" si="51"/>
        <v>2586623.326015336</v>
      </c>
      <c r="I834" s="552">
        <f t="shared" si="52"/>
        <v>0</v>
      </c>
      <c r="J834" s="552"/>
      <c r="K834" s="572"/>
      <c r="L834" s="556"/>
      <c r="M834" s="572"/>
      <c r="N834" s="556"/>
      <c r="O834" s="556"/>
    </row>
    <row r="835" spans="3:15">
      <c r="C835" s="548">
        <f>IF(D809="","-",+C834+1)</f>
        <v>2037</v>
      </c>
      <c r="D835" s="506">
        <f t="shared" si="48"/>
        <v>14896780.555555573</v>
      </c>
      <c r="E835" s="549">
        <f t="shared" si="53"/>
        <v>893806.83333333337</v>
      </c>
      <c r="F835" s="506">
        <f t="shared" si="49"/>
        <v>14002973.722222239</v>
      </c>
      <c r="G835" s="554">
        <f t="shared" si="50"/>
        <v>2488012.6565387147</v>
      </c>
      <c r="H835" s="555">
        <f t="shared" si="51"/>
        <v>2488012.6565387147</v>
      </c>
      <c r="I835" s="552">
        <f t="shared" si="52"/>
        <v>0</v>
      </c>
      <c r="J835" s="552"/>
      <c r="K835" s="572"/>
      <c r="L835" s="556"/>
      <c r="M835" s="572"/>
      <c r="N835" s="556"/>
      <c r="O835" s="556"/>
    </row>
    <row r="836" spans="3:15">
      <c r="C836" s="548">
        <f>IF(D809="","-",+C835+1)</f>
        <v>2038</v>
      </c>
      <c r="D836" s="506">
        <f t="shared" si="48"/>
        <v>14002973.722222239</v>
      </c>
      <c r="E836" s="549">
        <f t="shared" si="53"/>
        <v>893806.83333333337</v>
      </c>
      <c r="F836" s="506">
        <f t="shared" si="49"/>
        <v>13109166.888888905</v>
      </c>
      <c r="G836" s="554">
        <f t="shared" si="50"/>
        <v>2389401.9870620933</v>
      </c>
      <c r="H836" s="555">
        <f t="shared" si="51"/>
        <v>2389401.9870620933</v>
      </c>
      <c r="I836" s="552">
        <f t="shared" si="52"/>
        <v>0</v>
      </c>
      <c r="J836" s="552"/>
      <c r="K836" s="572"/>
      <c r="L836" s="556"/>
      <c r="M836" s="572"/>
      <c r="N836" s="556"/>
      <c r="O836" s="556"/>
    </row>
    <row r="837" spans="3:15">
      <c r="C837" s="548">
        <f>IF(D809="","-",+C836+1)</f>
        <v>2039</v>
      </c>
      <c r="D837" s="506">
        <f t="shared" si="48"/>
        <v>13109166.888888905</v>
      </c>
      <c r="E837" s="549">
        <f t="shared" si="53"/>
        <v>893806.83333333337</v>
      </c>
      <c r="F837" s="506">
        <f t="shared" si="49"/>
        <v>12215360.055555571</v>
      </c>
      <c r="G837" s="554">
        <f t="shared" si="50"/>
        <v>2290791.317585472</v>
      </c>
      <c r="H837" s="555">
        <f t="shared" si="51"/>
        <v>2290791.317585472</v>
      </c>
      <c r="I837" s="552">
        <f t="shared" si="52"/>
        <v>0</v>
      </c>
      <c r="J837" s="552"/>
      <c r="K837" s="572"/>
      <c r="L837" s="556"/>
      <c r="M837" s="572"/>
      <c r="N837" s="556"/>
      <c r="O837" s="556"/>
    </row>
    <row r="838" spans="3:15">
      <c r="C838" s="548">
        <f>IF(D809="","-",+C837+1)</f>
        <v>2040</v>
      </c>
      <c r="D838" s="506">
        <f t="shared" si="48"/>
        <v>12215360.055555571</v>
      </c>
      <c r="E838" s="549">
        <f t="shared" si="53"/>
        <v>893806.83333333337</v>
      </c>
      <c r="F838" s="506">
        <f t="shared" si="49"/>
        <v>11321553.222222237</v>
      </c>
      <c r="G838" s="554">
        <f t="shared" si="50"/>
        <v>2192180.6481088502</v>
      </c>
      <c r="H838" s="555">
        <f t="shared" si="51"/>
        <v>2192180.6481088502</v>
      </c>
      <c r="I838" s="552">
        <f t="shared" si="52"/>
        <v>0</v>
      </c>
      <c r="J838" s="552"/>
      <c r="K838" s="572"/>
      <c r="L838" s="556"/>
      <c r="M838" s="572"/>
      <c r="N838" s="556"/>
      <c r="O838" s="556"/>
    </row>
    <row r="839" spans="3:15">
      <c r="C839" s="548">
        <f>IF(D809="","-",+C838+1)</f>
        <v>2041</v>
      </c>
      <c r="D839" s="506">
        <f t="shared" si="48"/>
        <v>11321553.222222237</v>
      </c>
      <c r="E839" s="549">
        <f t="shared" si="53"/>
        <v>893806.83333333337</v>
      </c>
      <c r="F839" s="506">
        <f t="shared" si="49"/>
        <v>10427746.388888903</v>
      </c>
      <c r="G839" s="554">
        <f t="shared" si="50"/>
        <v>2093569.9786322289</v>
      </c>
      <c r="H839" s="555">
        <f t="shared" si="51"/>
        <v>2093569.9786322289</v>
      </c>
      <c r="I839" s="552">
        <f t="shared" si="52"/>
        <v>0</v>
      </c>
      <c r="J839" s="552"/>
      <c r="K839" s="572"/>
      <c r="L839" s="556"/>
      <c r="M839" s="572"/>
      <c r="N839" s="556"/>
      <c r="O839" s="556"/>
    </row>
    <row r="840" spans="3:15">
      <c r="C840" s="548">
        <f>IF(D809="","-",+C839+1)</f>
        <v>2042</v>
      </c>
      <c r="D840" s="506">
        <f t="shared" si="48"/>
        <v>10427746.388888903</v>
      </c>
      <c r="E840" s="549">
        <f t="shared" si="53"/>
        <v>893806.83333333337</v>
      </c>
      <c r="F840" s="506">
        <f t="shared" si="49"/>
        <v>9533939.555555569</v>
      </c>
      <c r="G840" s="554">
        <f t="shared" si="50"/>
        <v>1994959.3091556071</v>
      </c>
      <c r="H840" s="555">
        <f t="shared" si="51"/>
        <v>1994959.3091556071</v>
      </c>
      <c r="I840" s="552">
        <f t="shared" si="52"/>
        <v>0</v>
      </c>
      <c r="J840" s="552"/>
      <c r="K840" s="572"/>
      <c r="L840" s="556"/>
      <c r="M840" s="572"/>
      <c r="N840" s="556"/>
      <c r="O840" s="556"/>
    </row>
    <row r="841" spans="3:15">
      <c r="C841" s="548">
        <f>IF(D809="","-",+C840+1)</f>
        <v>2043</v>
      </c>
      <c r="D841" s="506">
        <f t="shared" si="48"/>
        <v>9533939.555555569</v>
      </c>
      <c r="E841" s="549">
        <f t="shared" si="53"/>
        <v>893806.83333333337</v>
      </c>
      <c r="F841" s="506">
        <f t="shared" si="49"/>
        <v>8640132.7222222351</v>
      </c>
      <c r="G841" s="554">
        <f t="shared" si="50"/>
        <v>1896348.6396789858</v>
      </c>
      <c r="H841" s="555">
        <f t="shared" si="51"/>
        <v>1896348.6396789858</v>
      </c>
      <c r="I841" s="552">
        <f t="shared" si="52"/>
        <v>0</v>
      </c>
      <c r="J841" s="552"/>
      <c r="K841" s="572"/>
      <c r="L841" s="556"/>
      <c r="M841" s="572"/>
      <c r="N841" s="556"/>
      <c r="O841" s="556"/>
    </row>
    <row r="842" spans="3:15">
      <c r="C842" s="548">
        <f>IF(D809="","-",+C841+1)</f>
        <v>2044</v>
      </c>
      <c r="D842" s="506">
        <f t="shared" si="48"/>
        <v>8640132.7222222351</v>
      </c>
      <c r="E842" s="549">
        <f t="shared" si="53"/>
        <v>893806.83333333337</v>
      </c>
      <c r="F842" s="506">
        <f t="shared" si="49"/>
        <v>7746325.888888902</v>
      </c>
      <c r="G842" s="554">
        <f t="shared" si="50"/>
        <v>1797737.9702023645</v>
      </c>
      <c r="H842" s="555">
        <f t="shared" si="51"/>
        <v>1797737.9702023645</v>
      </c>
      <c r="I842" s="552">
        <f t="shared" si="52"/>
        <v>0</v>
      </c>
      <c r="J842" s="552"/>
      <c r="K842" s="572"/>
      <c r="L842" s="556"/>
      <c r="M842" s="572"/>
      <c r="N842" s="556"/>
      <c r="O842" s="556"/>
    </row>
    <row r="843" spans="3:15">
      <c r="C843" s="548">
        <f>IF(D809="","-",+C842+1)</f>
        <v>2045</v>
      </c>
      <c r="D843" s="506">
        <f t="shared" si="48"/>
        <v>7746325.888888902</v>
      </c>
      <c r="E843" s="549">
        <f t="shared" si="53"/>
        <v>893806.83333333337</v>
      </c>
      <c r="F843" s="506">
        <f t="shared" si="49"/>
        <v>6852519.055555569</v>
      </c>
      <c r="G843" s="550">
        <f t="shared" si="50"/>
        <v>1699127.3007257432</v>
      </c>
      <c r="H843" s="555">
        <f t="shared" si="51"/>
        <v>1699127.3007257432</v>
      </c>
      <c r="I843" s="552">
        <f t="shared" si="52"/>
        <v>0</v>
      </c>
      <c r="J843" s="552"/>
      <c r="K843" s="572"/>
      <c r="L843" s="556"/>
      <c r="M843" s="572"/>
      <c r="N843" s="556"/>
      <c r="O843" s="556"/>
    </row>
    <row r="844" spans="3:15">
      <c r="C844" s="548">
        <f>IF(D809="","-",+C843+1)</f>
        <v>2046</v>
      </c>
      <c r="D844" s="506">
        <f t="shared" si="48"/>
        <v>6852519.055555569</v>
      </c>
      <c r="E844" s="549">
        <f t="shared" si="53"/>
        <v>893806.83333333337</v>
      </c>
      <c r="F844" s="506">
        <f t="shared" si="49"/>
        <v>5958712.222222236</v>
      </c>
      <c r="G844" s="554">
        <f t="shared" si="50"/>
        <v>1600516.6312491219</v>
      </c>
      <c r="H844" s="555">
        <f t="shared" si="51"/>
        <v>1600516.6312491219</v>
      </c>
      <c r="I844" s="552">
        <f t="shared" si="52"/>
        <v>0</v>
      </c>
      <c r="J844" s="552"/>
      <c r="K844" s="572"/>
      <c r="L844" s="556"/>
      <c r="M844" s="572"/>
      <c r="N844" s="556"/>
      <c r="O844" s="556"/>
    </row>
    <row r="845" spans="3:15">
      <c r="C845" s="548">
        <f>IF(D809="","-",+C844+1)</f>
        <v>2047</v>
      </c>
      <c r="D845" s="506">
        <f t="shared" si="48"/>
        <v>5958712.222222236</v>
      </c>
      <c r="E845" s="549">
        <f t="shared" si="53"/>
        <v>893806.83333333337</v>
      </c>
      <c r="F845" s="506">
        <f t="shared" si="49"/>
        <v>5064905.388888903</v>
      </c>
      <c r="G845" s="554">
        <f t="shared" si="50"/>
        <v>1501905.9617725001</v>
      </c>
      <c r="H845" s="555">
        <f t="shared" si="51"/>
        <v>1501905.9617725001</v>
      </c>
      <c r="I845" s="552">
        <f t="shared" si="52"/>
        <v>0</v>
      </c>
      <c r="J845" s="552"/>
      <c r="K845" s="572"/>
      <c r="L845" s="556"/>
      <c r="M845" s="572"/>
      <c r="N845" s="556"/>
      <c r="O845" s="556"/>
    </row>
    <row r="846" spans="3:15">
      <c r="C846" s="548">
        <f>IF(D809="","-",+C845+1)</f>
        <v>2048</v>
      </c>
      <c r="D846" s="506">
        <f t="shared" si="48"/>
        <v>5064905.388888903</v>
      </c>
      <c r="E846" s="549">
        <f t="shared" si="53"/>
        <v>893806.83333333337</v>
      </c>
      <c r="F846" s="506">
        <f t="shared" si="49"/>
        <v>4171098.5555555695</v>
      </c>
      <c r="G846" s="554">
        <f t="shared" si="50"/>
        <v>1403295.2922958788</v>
      </c>
      <c r="H846" s="555">
        <f t="shared" si="51"/>
        <v>1403295.2922958788</v>
      </c>
      <c r="I846" s="552">
        <f t="shared" si="52"/>
        <v>0</v>
      </c>
      <c r="J846" s="552"/>
      <c r="K846" s="572"/>
      <c r="L846" s="556"/>
      <c r="M846" s="572"/>
      <c r="N846" s="556"/>
      <c r="O846" s="556"/>
    </row>
    <row r="847" spans="3:15">
      <c r="C847" s="548">
        <f>IF(D809="","-",+C846+1)</f>
        <v>2049</v>
      </c>
      <c r="D847" s="506">
        <f t="shared" si="48"/>
        <v>4171098.5555555695</v>
      </c>
      <c r="E847" s="549">
        <f t="shared" si="53"/>
        <v>893806.83333333337</v>
      </c>
      <c r="F847" s="506">
        <f t="shared" si="49"/>
        <v>3277291.722222236</v>
      </c>
      <c r="G847" s="554">
        <f t="shared" si="50"/>
        <v>1304684.6228192574</v>
      </c>
      <c r="H847" s="555">
        <f t="shared" si="51"/>
        <v>1304684.6228192574</v>
      </c>
      <c r="I847" s="552">
        <f t="shared" si="52"/>
        <v>0</v>
      </c>
      <c r="J847" s="552"/>
      <c r="K847" s="572"/>
      <c r="L847" s="556"/>
      <c r="M847" s="572"/>
      <c r="N847" s="556"/>
      <c r="O847" s="556"/>
    </row>
    <row r="848" spans="3:15">
      <c r="C848" s="548">
        <f>IF(D809="","-",+C847+1)</f>
        <v>2050</v>
      </c>
      <c r="D848" s="506">
        <f t="shared" si="48"/>
        <v>3277291.722222236</v>
      </c>
      <c r="E848" s="549">
        <f t="shared" si="53"/>
        <v>893806.83333333337</v>
      </c>
      <c r="F848" s="506">
        <f t="shared" si="49"/>
        <v>2383484.8888889025</v>
      </c>
      <c r="G848" s="554">
        <f t="shared" si="50"/>
        <v>1206073.9533426361</v>
      </c>
      <c r="H848" s="555">
        <f t="shared" si="51"/>
        <v>1206073.9533426361</v>
      </c>
      <c r="I848" s="552">
        <f t="shared" si="52"/>
        <v>0</v>
      </c>
      <c r="J848" s="552"/>
      <c r="K848" s="572"/>
      <c r="L848" s="556"/>
      <c r="M848" s="572"/>
      <c r="N848" s="556"/>
      <c r="O848" s="556"/>
    </row>
    <row r="849" spans="3:15">
      <c r="C849" s="548">
        <f>IF(D809="","-",+C848+1)</f>
        <v>2051</v>
      </c>
      <c r="D849" s="506">
        <f t="shared" si="48"/>
        <v>2383484.8888889025</v>
      </c>
      <c r="E849" s="549">
        <f t="shared" si="53"/>
        <v>893806.83333333337</v>
      </c>
      <c r="F849" s="506">
        <f t="shared" si="49"/>
        <v>1489678.055555569</v>
      </c>
      <c r="G849" s="554">
        <f t="shared" si="50"/>
        <v>1107463.2838660146</v>
      </c>
      <c r="H849" s="555">
        <f t="shared" si="51"/>
        <v>1107463.2838660146</v>
      </c>
      <c r="I849" s="552">
        <f t="shared" si="52"/>
        <v>0</v>
      </c>
      <c r="J849" s="552"/>
      <c r="K849" s="572"/>
      <c r="L849" s="556"/>
      <c r="M849" s="572"/>
      <c r="N849" s="556"/>
      <c r="O849" s="556"/>
    </row>
    <row r="850" spans="3:15">
      <c r="C850" s="548">
        <f>IF(D809="","-",+C849+1)</f>
        <v>2052</v>
      </c>
      <c r="D850" s="506">
        <f t="shared" si="48"/>
        <v>1489678.055555569</v>
      </c>
      <c r="E850" s="549">
        <f t="shared" si="53"/>
        <v>893806.83333333337</v>
      </c>
      <c r="F850" s="506">
        <f t="shared" si="49"/>
        <v>595871.22222223564</v>
      </c>
      <c r="G850" s="554">
        <f t="shared" si="50"/>
        <v>1008852.6143893931</v>
      </c>
      <c r="H850" s="555">
        <f t="shared" si="51"/>
        <v>1008852.6143893931</v>
      </c>
      <c r="I850" s="552">
        <f t="shared" si="52"/>
        <v>0</v>
      </c>
      <c r="J850" s="552"/>
      <c r="K850" s="572"/>
      <c r="L850" s="556"/>
      <c r="M850" s="572"/>
      <c r="N850" s="556"/>
      <c r="O850" s="556"/>
    </row>
    <row r="851" spans="3:15">
      <c r="C851" s="548">
        <f>IF(D809="","-",+C850+1)</f>
        <v>2053</v>
      </c>
      <c r="D851" s="506">
        <f t="shared" si="48"/>
        <v>595871.22222223564</v>
      </c>
      <c r="E851" s="549">
        <f t="shared" si="53"/>
        <v>595871.22222223564</v>
      </c>
      <c r="F851" s="506">
        <f t="shared" si="49"/>
        <v>0</v>
      </c>
      <c r="G851" s="554">
        <f t="shared" si="50"/>
        <v>628741.44538111018</v>
      </c>
      <c r="H851" s="555">
        <f t="shared" si="51"/>
        <v>628741.44538111018</v>
      </c>
      <c r="I851" s="552">
        <f t="shared" si="52"/>
        <v>0</v>
      </c>
      <c r="J851" s="552"/>
      <c r="K851" s="572"/>
      <c r="L851" s="556"/>
      <c r="M851" s="572"/>
      <c r="N851" s="556"/>
      <c r="O851" s="556"/>
    </row>
    <row r="852" spans="3:15">
      <c r="C852" s="548">
        <f>IF(D809="","-",+C851+1)</f>
        <v>2054</v>
      </c>
      <c r="D852" s="506">
        <f t="shared" si="48"/>
        <v>0</v>
      </c>
      <c r="E852" s="549">
        <f t="shared" si="53"/>
        <v>0</v>
      </c>
      <c r="F852" s="506">
        <f t="shared" si="49"/>
        <v>0</v>
      </c>
      <c r="G852" s="554">
        <f t="shared" si="50"/>
        <v>0</v>
      </c>
      <c r="H852" s="555">
        <f t="shared" si="51"/>
        <v>0</v>
      </c>
      <c r="I852" s="552">
        <f t="shared" si="52"/>
        <v>0</v>
      </c>
      <c r="J852" s="552"/>
      <c r="K852" s="572"/>
      <c r="L852" s="556"/>
      <c r="M852" s="572"/>
      <c r="N852" s="556"/>
      <c r="O852" s="556"/>
    </row>
    <row r="853" spans="3:15">
      <c r="C853" s="548">
        <f>IF(D809="","-",+C852+1)</f>
        <v>2055</v>
      </c>
      <c r="D853" s="506">
        <f t="shared" si="48"/>
        <v>0</v>
      </c>
      <c r="E853" s="549">
        <f t="shared" si="53"/>
        <v>0</v>
      </c>
      <c r="F853" s="506">
        <f t="shared" si="49"/>
        <v>0</v>
      </c>
      <c r="G853" s="554">
        <f t="shared" si="50"/>
        <v>0</v>
      </c>
      <c r="H853" s="555">
        <f t="shared" si="51"/>
        <v>0</v>
      </c>
      <c r="I853" s="552">
        <f t="shared" si="52"/>
        <v>0</v>
      </c>
      <c r="J853" s="552"/>
      <c r="K853" s="572"/>
      <c r="L853" s="556"/>
      <c r="M853" s="572"/>
      <c r="N853" s="556"/>
      <c r="O853" s="556"/>
    </row>
    <row r="854" spans="3:15">
      <c r="C854" s="548">
        <f>IF(D809="","-",+C853+1)</f>
        <v>2056</v>
      </c>
      <c r="D854" s="506">
        <f t="shared" si="48"/>
        <v>0</v>
      </c>
      <c r="E854" s="549">
        <f t="shared" si="53"/>
        <v>0</v>
      </c>
      <c r="F854" s="506">
        <f t="shared" si="49"/>
        <v>0</v>
      </c>
      <c r="G854" s="554">
        <f t="shared" si="50"/>
        <v>0</v>
      </c>
      <c r="H854" s="555">
        <f t="shared" si="51"/>
        <v>0</v>
      </c>
      <c r="I854" s="552">
        <f t="shared" si="52"/>
        <v>0</v>
      </c>
      <c r="J854" s="552"/>
      <c r="K854" s="572"/>
      <c r="L854" s="556"/>
      <c r="M854" s="572"/>
      <c r="N854" s="556"/>
      <c r="O854" s="556"/>
    </row>
    <row r="855" spans="3:15">
      <c r="C855" s="548">
        <f>IF(D809="","-",+C854+1)</f>
        <v>2057</v>
      </c>
      <c r="D855" s="506">
        <f t="shared" si="48"/>
        <v>0</v>
      </c>
      <c r="E855" s="549">
        <f t="shared" si="53"/>
        <v>0</v>
      </c>
      <c r="F855" s="506">
        <f t="shared" si="49"/>
        <v>0</v>
      </c>
      <c r="G855" s="554">
        <f t="shared" si="50"/>
        <v>0</v>
      </c>
      <c r="H855" s="555">
        <f t="shared" si="51"/>
        <v>0</v>
      </c>
      <c r="I855" s="552">
        <f t="shared" si="52"/>
        <v>0</v>
      </c>
      <c r="J855" s="552"/>
      <c r="K855" s="572"/>
      <c r="L855" s="556"/>
      <c r="M855" s="572"/>
      <c r="N855" s="556"/>
      <c r="O855" s="556"/>
    </row>
    <row r="856" spans="3:15">
      <c r="C856" s="548">
        <f>IF(D809="","-",+C855+1)</f>
        <v>2058</v>
      </c>
      <c r="D856" s="506">
        <f t="shared" si="48"/>
        <v>0</v>
      </c>
      <c r="E856" s="549">
        <f t="shared" si="53"/>
        <v>0</v>
      </c>
      <c r="F856" s="506">
        <f t="shared" si="49"/>
        <v>0</v>
      </c>
      <c r="G856" s="554">
        <f t="shared" si="50"/>
        <v>0</v>
      </c>
      <c r="H856" s="555">
        <f t="shared" si="51"/>
        <v>0</v>
      </c>
      <c r="I856" s="552">
        <f t="shared" si="52"/>
        <v>0</v>
      </c>
      <c r="J856" s="552"/>
      <c r="K856" s="572"/>
      <c r="L856" s="556"/>
      <c r="M856" s="572"/>
      <c r="N856" s="556"/>
      <c r="O856" s="556"/>
    </row>
    <row r="857" spans="3:15">
      <c r="C857" s="548">
        <f>IF(D809="","-",+C856+1)</f>
        <v>2059</v>
      </c>
      <c r="D857" s="506">
        <f t="shared" si="48"/>
        <v>0</v>
      </c>
      <c r="E857" s="549">
        <f t="shared" si="53"/>
        <v>0</v>
      </c>
      <c r="F857" s="506">
        <f t="shared" si="49"/>
        <v>0</v>
      </c>
      <c r="G857" s="554">
        <f t="shared" si="50"/>
        <v>0</v>
      </c>
      <c r="H857" s="555">
        <f t="shared" si="51"/>
        <v>0</v>
      </c>
      <c r="I857" s="552">
        <f t="shared" si="52"/>
        <v>0</v>
      </c>
      <c r="J857" s="552"/>
      <c r="K857" s="572"/>
      <c r="L857" s="556"/>
      <c r="M857" s="572"/>
      <c r="N857" s="556"/>
      <c r="O857" s="556"/>
    </row>
    <row r="858" spans="3:15">
      <c r="C858" s="548">
        <f>IF(D809="","-",+C857+1)</f>
        <v>2060</v>
      </c>
      <c r="D858" s="506">
        <f t="shared" si="48"/>
        <v>0</v>
      </c>
      <c r="E858" s="549">
        <f t="shared" si="53"/>
        <v>0</v>
      </c>
      <c r="F858" s="506">
        <f t="shared" si="49"/>
        <v>0</v>
      </c>
      <c r="G858" s="554">
        <f t="shared" si="50"/>
        <v>0</v>
      </c>
      <c r="H858" s="555">
        <f t="shared" si="51"/>
        <v>0</v>
      </c>
      <c r="I858" s="552">
        <f t="shared" si="52"/>
        <v>0</v>
      </c>
      <c r="J858" s="552"/>
      <c r="K858" s="572"/>
      <c r="L858" s="556"/>
      <c r="M858" s="572"/>
      <c r="N858" s="556"/>
      <c r="O858" s="556"/>
    </row>
    <row r="859" spans="3:15">
      <c r="C859" s="548">
        <f>IF(D809="","-",+C858+1)</f>
        <v>2061</v>
      </c>
      <c r="D859" s="506">
        <f t="shared" si="48"/>
        <v>0</v>
      </c>
      <c r="E859" s="549">
        <f t="shared" si="53"/>
        <v>0</v>
      </c>
      <c r="F859" s="506">
        <f t="shared" si="49"/>
        <v>0</v>
      </c>
      <c r="G859" s="554">
        <f t="shared" si="50"/>
        <v>0</v>
      </c>
      <c r="H859" s="555">
        <f t="shared" si="51"/>
        <v>0</v>
      </c>
      <c r="I859" s="552">
        <f t="shared" si="52"/>
        <v>0</v>
      </c>
      <c r="J859" s="552"/>
      <c r="K859" s="572"/>
      <c r="L859" s="556"/>
      <c r="M859" s="572"/>
      <c r="N859" s="556"/>
      <c r="O859" s="556"/>
    </row>
    <row r="860" spans="3:15">
      <c r="C860" s="548">
        <f>IF(D809="","-",+C859+1)</f>
        <v>2062</v>
      </c>
      <c r="D860" s="506">
        <f t="shared" si="48"/>
        <v>0</v>
      </c>
      <c r="E860" s="549">
        <f t="shared" si="53"/>
        <v>0</v>
      </c>
      <c r="F860" s="506">
        <f t="shared" si="49"/>
        <v>0</v>
      </c>
      <c r="G860" s="554">
        <f t="shared" si="50"/>
        <v>0</v>
      </c>
      <c r="H860" s="555">
        <f t="shared" si="51"/>
        <v>0</v>
      </c>
      <c r="I860" s="552">
        <f t="shared" si="52"/>
        <v>0</v>
      </c>
      <c r="J860" s="552"/>
      <c r="K860" s="572"/>
      <c r="L860" s="556"/>
      <c r="M860" s="572"/>
      <c r="N860" s="556"/>
      <c r="O860" s="556"/>
    </row>
    <row r="861" spans="3:15">
      <c r="C861" s="548">
        <f>IF(D809="","-",+C860+1)</f>
        <v>2063</v>
      </c>
      <c r="D861" s="506">
        <f t="shared" si="48"/>
        <v>0</v>
      </c>
      <c r="E861" s="549">
        <f t="shared" si="53"/>
        <v>0</v>
      </c>
      <c r="F861" s="506">
        <f t="shared" si="49"/>
        <v>0</v>
      </c>
      <c r="G861" s="554">
        <f t="shared" si="50"/>
        <v>0</v>
      </c>
      <c r="H861" s="555">
        <f t="shared" si="51"/>
        <v>0</v>
      </c>
      <c r="I861" s="552">
        <f t="shared" si="52"/>
        <v>0</v>
      </c>
      <c r="J861" s="552"/>
      <c r="K861" s="572"/>
      <c r="L861" s="556"/>
      <c r="M861" s="572"/>
      <c r="N861" s="556"/>
      <c r="O861" s="556"/>
    </row>
    <row r="862" spans="3:15">
      <c r="C862" s="548">
        <f>IF(D809="","-",+C861+1)</f>
        <v>2064</v>
      </c>
      <c r="D862" s="506">
        <f t="shared" si="48"/>
        <v>0</v>
      </c>
      <c r="E862" s="549">
        <f t="shared" si="53"/>
        <v>0</v>
      </c>
      <c r="F862" s="506">
        <f t="shared" si="49"/>
        <v>0</v>
      </c>
      <c r="G862" s="554">
        <f t="shared" si="50"/>
        <v>0</v>
      </c>
      <c r="H862" s="555">
        <f t="shared" si="51"/>
        <v>0</v>
      </c>
      <c r="I862" s="552">
        <f t="shared" si="52"/>
        <v>0</v>
      </c>
      <c r="J862" s="552"/>
      <c r="K862" s="572"/>
      <c r="L862" s="556"/>
      <c r="M862" s="572"/>
      <c r="N862" s="556"/>
      <c r="O862" s="556"/>
    </row>
    <row r="863" spans="3:15">
      <c r="C863" s="548">
        <f>IF(D809="","-",+C862+1)</f>
        <v>2065</v>
      </c>
      <c r="D863" s="506">
        <f t="shared" si="48"/>
        <v>0</v>
      </c>
      <c r="E863" s="549">
        <f t="shared" si="53"/>
        <v>0</v>
      </c>
      <c r="F863" s="506">
        <f t="shared" si="49"/>
        <v>0</v>
      </c>
      <c r="G863" s="554">
        <f t="shared" si="50"/>
        <v>0</v>
      </c>
      <c r="H863" s="555">
        <f t="shared" si="51"/>
        <v>0</v>
      </c>
      <c r="I863" s="552">
        <f t="shared" si="52"/>
        <v>0</v>
      </c>
      <c r="J863" s="552"/>
      <c r="K863" s="572"/>
      <c r="L863" s="556"/>
      <c r="M863" s="572"/>
      <c r="N863" s="556"/>
      <c r="O863" s="556"/>
    </row>
    <row r="864" spans="3:15">
      <c r="C864" s="548">
        <f>IF(D809="","-",+C863+1)</f>
        <v>2066</v>
      </c>
      <c r="D864" s="506">
        <f t="shared" si="48"/>
        <v>0</v>
      </c>
      <c r="E864" s="549">
        <f t="shared" si="53"/>
        <v>0</v>
      </c>
      <c r="F864" s="506">
        <f t="shared" si="49"/>
        <v>0</v>
      </c>
      <c r="G864" s="554">
        <f t="shared" si="50"/>
        <v>0</v>
      </c>
      <c r="H864" s="555">
        <f t="shared" si="51"/>
        <v>0</v>
      </c>
      <c r="I864" s="552">
        <f t="shared" si="52"/>
        <v>0</v>
      </c>
      <c r="J864" s="552"/>
      <c r="K864" s="572"/>
      <c r="L864" s="556"/>
      <c r="M864" s="572"/>
      <c r="N864" s="556"/>
      <c r="O864" s="556"/>
    </row>
    <row r="865" spans="3:15">
      <c r="C865" s="548">
        <f>IF(D809="","-",+C864+1)</f>
        <v>2067</v>
      </c>
      <c r="D865" s="506">
        <f t="shared" si="48"/>
        <v>0</v>
      </c>
      <c r="E865" s="549">
        <f t="shared" si="53"/>
        <v>0</v>
      </c>
      <c r="F865" s="506">
        <f t="shared" si="49"/>
        <v>0</v>
      </c>
      <c r="G865" s="554">
        <f t="shared" si="50"/>
        <v>0</v>
      </c>
      <c r="H865" s="555">
        <f t="shared" si="51"/>
        <v>0</v>
      </c>
      <c r="I865" s="552">
        <f t="shared" si="52"/>
        <v>0</v>
      </c>
      <c r="J865" s="552"/>
      <c r="K865" s="572"/>
      <c r="L865" s="556"/>
      <c r="M865" s="572"/>
      <c r="N865" s="556"/>
      <c r="O865" s="556"/>
    </row>
    <row r="866" spans="3:15">
      <c r="C866" s="548">
        <f>IF(D809="","-",+C865+1)</f>
        <v>2068</v>
      </c>
      <c r="D866" s="506">
        <f t="shared" si="48"/>
        <v>0</v>
      </c>
      <c r="E866" s="549">
        <f t="shared" si="53"/>
        <v>0</v>
      </c>
      <c r="F866" s="506">
        <f t="shared" si="49"/>
        <v>0</v>
      </c>
      <c r="G866" s="554">
        <f t="shared" si="50"/>
        <v>0</v>
      </c>
      <c r="H866" s="555">
        <f t="shared" si="51"/>
        <v>0</v>
      </c>
      <c r="I866" s="552">
        <f t="shared" si="52"/>
        <v>0</v>
      </c>
      <c r="J866" s="552"/>
      <c r="K866" s="572"/>
      <c r="L866" s="556"/>
      <c r="M866" s="572"/>
      <c r="N866" s="556"/>
      <c r="O866" s="556"/>
    </row>
    <row r="867" spans="3:15">
      <c r="C867" s="548">
        <f>IF(D809="","-",+C866+1)</f>
        <v>2069</v>
      </c>
      <c r="D867" s="506">
        <f t="shared" si="48"/>
        <v>0</v>
      </c>
      <c r="E867" s="549">
        <f t="shared" si="53"/>
        <v>0</v>
      </c>
      <c r="F867" s="506">
        <f t="shared" si="49"/>
        <v>0</v>
      </c>
      <c r="G867" s="554">
        <f t="shared" si="50"/>
        <v>0</v>
      </c>
      <c r="H867" s="555">
        <f t="shared" si="51"/>
        <v>0</v>
      </c>
      <c r="I867" s="552">
        <f t="shared" si="52"/>
        <v>0</v>
      </c>
      <c r="J867" s="552"/>
      <c r="K867" s="572"/>
      <c r="L867" s="556"/>
      <c r="M867" s="572"/>
      <c r="N867" s="556"/>
      <c r="O867" s="556"/>
    </row>
    <row r="868" spans="3:15">
      <c r="C868" s="548">
        <f>IF(D809="","-",+C867+1)</f>
        <v>2070</v>
      </c>
      <c r="D868" s="506">
        <f t="shared" si="48"/>
        <v>0</v>
      </c>
      <c r="E868" s="549">
        <f t="shared" si="53"/>
        <v>0</v>
      </c>
      <c r="F868" s="506">
        <f t="shared" si="49"/>
        <v>0</v>
      </c>
      <c r="G868" s="554">
        <f t="shared" si="50"/>
        <v>0</v>
      </c>
      <c r="H868" s="555">
        <f t="shared" si="51"/>
        <v>0</v>
      </c>
      <c r="I868" s="552">
        <f t="shared" si="52"/>
        <v>0</v>
      </c>
      <c r="J868" s="552"/>
      <c r="K868" s="572"/>
      <c r="L868" s="556"/>
      <c r="M868" s="572"/>
      <c r="N868" s="556"/>
      <c r="O868" s="556"/>
    </row>
    <row r="869" spans="3:15">
      <c r="C869" s="548">
        <f>IF(D809="","-",+C868+1)</f>
        <v>2071</v>
      </c>
      <c r="D869" s="506">
        <f t="shared" si="48"/>
        <v>0</v>
      </c>
      <c r="E869" s="549">
        <f t="shared" si="53"/>
        <v>0</v>
      </c>
      <c r="F869" s="506">
        <f t="shared" si="49"/>
        <v>0</v>
      </c>
      <c r="G869" s="554">
        <f t="shared" si="50"/>
        <v>0</v>
      </c>
      <c r="H869" s="555">
        <f t="shared" si="51"/>
        <v>0</v>
      </c>
      <c r="I869" s="552">
        <f t="shared" si="52"/>
        <v>0</v>
      </c>
      <c r="J869" s="552"/>
      <c r="K869" s="572"/>
      <c r="L869" s="556"/>
      <c r="M869" s="572"/>
      <c r="N869" s="556"/>
      <c r="O869" s="556"/>
    </row>
    <row r="870" spans="3:15">
      <c r="C870" s="548">
        <f>IF(D809="","-",+C869+1)</f>
        <v>2072</v>
      </c>
      <c r="D870" s="506">
        <f t="shared" si="48"/>
        <v>0</v>
      </c>
      <c r="E870" s="549">
        <f t="shared" si="53"/>
        <v>0</v>
      </c>
      <c r="F870" s="506">
        <f t="shared" si="49"/>
        <v>0</v>
      </c>
      <c r="G870" s="554">
        <f t="shared" si="50"/>
        <v>0</v>
      </c>
      <c r="H870" s="555">
        <f t="shared" si="51"/>
        <v>0</v>
      </c>
      <c r="I870" s="552">
        <f t="shared" si="52"/>
        <v>0</v>
      </c>
      <c r="J870" s="552"/>
      <c r="K870" s="572"/>
      <c r="L870" s="556"/>
      <c r="M870" s="572"/>
      <c r="N870" s="556"/>
      <c r="O870" s="556"/>
    </row>
    <row r="871" spans="3:15">
      <c r="C871" s="548">
        <f>IF(D809="","-",+C870+1)</f>
        <v>2073</v>
      </c>
      <c r="D871" s="506">
        <f t="shared" si="48"/>
        <v>0</v>
      </c>
      <c r="E871" s="549">
        <f t="shared" si="53"/>
        <v>0</v>
      </c>
      <c r="F871" s="506">
        <f t="shared" si="49"/>
        <v>0</v>
      </c>
      <c r="G871" s="554">
        <f t="shared" si="50"/>
        <v>0</v>
      </c>
      <c r="H871" s="555">
        <f t="shared" si="51"/>
        <v>0</v>
      </c>
      <c r="I871" s="552">
        <f t="shared" si="52"/>
        <v>0</v>
      </c>
      <c r="J871" s="552"/>
      <c r="K871" s="572"/>
      <c r="L871" s="556"/>
      <c r="M871" s="572"/>
      <c r="N871" s="556"/>
      <c r="O871" s="556"/>
    </row>
    <row r="872" spans="3:15">
      <c r="C872" s="548">
        <f>IF(D809="","-",+C871+1)</f>
        <v>2074</v>
      </c>
      <c r="D872" s="506">
        <f t="shared" si="48"/>
        <v>0</v>
      </c>
      <c r="E872" s="549">
        <f t="shared" si="53"/>
        <v>0</v>
      </c>
      <c r="F872" s="506">
        <f t="shared" si="49"/>
        <v>0</v>
      </c>
      <c r="G872" s="554">
        <f t="shared" si="50"/>
        <v>0</v>
      </c>
      <c r="H872" s="555">
        <f t="shared" si="51"/>
        <v>0</v>
      </c>
      <c r="I872" s="552">
        <f t="shared" si="52"/>
        <v>0</v>
      </c>
      <c r="J872" s="552"/>
      <c r="K872" s="572"/>
      <c r="L872" s="556"/>
      <c r="M872" s="572"/>
      <c r="N872" s="556"/>
      <c r="O872" s="556"/>
    </row>
    <row r="873" spans="3:15">
      <c r="C873" s="548">
        <f>IF(D809="","-",+C872+1)</f>
        <v>2075</v>
      </c>
      <c r="D873" s="506">
        <f t="shared" si="48"/>
        <v>0</v>
      </c>
      <c r="E873" s="549">
        <f t="shared" si="53"/>
        <v>0</v>
      </c>
      <c r="F873" s="506">
        <f t="shared" si="49"/>
        <v>0</v>
      </c>
      <c r="G873" s="554">
        <f t="shared" si="50"/>
        <v>0</v>
      </c>
      <c r="H873" s="555">
        <f t="shared" si="51"/>
        <v>0</v>
      </c>
      <c r="I873" s="552">
        <f t="shared" si="52"/>
        <v>0</v>
      </c>
      <c r="J873" s="552"/>
      <c r="K873" s="572"/>
      <c r="L873" s="556"/>
      <c r="M873" s="572"/>
      <c r="N873" s="556"/>
      <c r="O873" s="556"/>
    </row>
    <row r="874" spans="3:15" ht="13.5" thickBot="1">
      <c r="C874" s="558">
        <f>IF(D809="","-",+C873+1)</f>
        <v>2076</v>
      </c>
      <c r="D874" s="559">
        <f t="shared" si="48"/>
        <v>0</v>
      </c>
      <c r="E874" s="560">
        <f t="shared" si="53"/>
        <v>0</v>
      </c>
      <c r="F874" s="559">
        <f t="shared" si="49"/>
        <v>0</v>
      </c>
      <c r="G874" s="561">
        <f t="shared" si="50"/>
        <v>0</v>
      </c>
      <c r="H874" s="561">
        <f t="shared" si="51"/>
        <v>0</v>
      </c>
      <c r="I874" s="562">
        <f t="shared" si="52"/>
        <v>0</v>
      </c>
      <c r="J874" s="552"/>
      <c r="K874" s="573"/>
      <c r="L874" s="563"/>
      <c r="M874" s="573"/>
      <c r="N874" s="563"/>
      <c r="O874" s="563"/>
    </row>
    <row r="875" spans="3:15">
      <c r="C875" s="506" t="s">
        <v>91</v>
      </c>
      <c r="D875" s="503"/>
      <c r="E875" s="503">
        <f>SUM(E815:E874)</f>
        <v>32177045.999999996</v>
      </c>
      <c r="F875" s="503"/>
      <c r="G875" s="503">
        <f>SUM(G815:G874)</f>
        <v>98443415.88828963</v>
      </c>
      <c r="H875" s="503">
        <f>SUM(H815:H874)</f>
        <v>98443415.88828963</v>
      </c>
      <c r="I875" s="503">
        <f>SUM(I815:I874)</f>
        <v>0</v>
      </c>
      <c r="J875" s="503"/>
      <c r="K875" s="503"/>
      <c r="L875" s="503"/>
      <c r="M875" s="503"/>
      <c r="N875" s="503"/>
      <c r="O875" s="3"/>
    </row>
    <row r="876" spans="3:15">
      <c r="D876" s="47"/>
      <c r="E876" s="3"/>
      <c r="F876" s="3"/>
      <c r="G876" s="3"/>
      <c r="H876" s="490"/>
      <c r="I876" s="490"/>
      <c r="J876" s="503"/>
      <c r="K876" s="490"/>
      <c r="L876" s="490"/>
      <c r="M876" s="490"/>
      <c r="N876" s="490"/>
      <c r="O876" s="3"/>
    </row>
    <row r="877" spans="3:15">
      <c r="C877" s="3" t="s">
        <v>13</v>
      </c>
      <c r="D877" s="47"/>
      <c r="E877" s="3"/>
      <c r="F877" s="3"/>
      <c r="G877" s="3"/>
      <c r="H877" s="490"/>
      <c r="I877" s="490"/>
      <c r="J877" s="503"/>
      <c r="K877" s="490"/>
      <c r="L877" s="490"/>
      <c r="M877" s="490"/>
      <c r="N877" s="490"/>
      <c r="O877" s="3"/>
    </row>
    <row r="878" spans="3:15">
      <c r="C878" s="3"/>
      <c r="D878" s="47"/>
      <c r="E878" s="3"/>
      <c r="F878" s="3"/>
      <c r="G878" s="3"/>
      <c r="H878" s="490"/>
      <c r="I878" s="490"/>
      <c r="J878" s="503"/>
      <c r="K878" s="490"/>
      <c r="L878" s="490"/>
      <c r="M878" s="490"/>
      <c r="N878" s="490"/>
      <c r="O878" s="3"/>
    </row>
    <row r="879" spans="3:15">
      <c r="C879" s="518" t="s">
        <v>14</v>
      </c>
      <c r="D879" s="506"/>
      <c r="E879" s="506"/>
      <c r="F879" s="506"/>
      <c r="G879" s="503"/>
      <c r="H879" s="503"/>
      <c r="I879" s="564"/>
      <c r="J879" s="564"/>
      <c r="K879" s="564"/>
      <c r="L879" s="564"/>
      <c r="M879" s="564"/>
      <c r="N879" s="564"/>
      <c r="O879" s="3"/>
    </row>
    <row r="880" spans="3:15">
      <c r="C880" s="507" t="s">
        <v>271</v>
      </c>
      <c r="D880" s="506"/>
      <c r="E880" s="506"/>
      <c r="F880" s="506"/>
      <c r="G880" s="503"/>
      <c r="H880" s="503"/>
      <c r="I880" s="564"/>
      <c r="J880" s="564"/>
      <c r="K880" s="564"/>
      <c r="L880" s="564"/>
      <c r="M880" s="564"/>
      <c r="N880" s="564"/>
      <c r="O880" s="3"/>
    </row>
    <row r="881" spans="1:16">
      <c r="C881" s="507" t="s">
        <v>92</v>
      </c>
      <c r="D881" s="506"/>
      <c r="E881" s="506"/>
      <c r="F881" s="506"/>
      <c r="G881" s="503"/>
      <c r="H881" s="503"/>
      <c r="I881" s="564"/>
      <c r="J881" s="564"/>
      <c r="K881" s="564"/>
      <c r="L881" s="564"/>
      <c r="M881" s="564"/>
      <c r="N881" s="564"/>
      <c r="O881" s="3"/>
    </row>
    <row r="882" spans="1:16">
      <c r="C882" s="507"/>
      <c r="D882" s="506"/>
      <c r="E882" s="506"/>
      <c r="F882" s="506"/>
      <c r="G882" s="503"/>
      <c r="H882" s="503"/>
      <c r="I882" s="564"/>
      <c r="J882" s="564"/>
      <c r="K882" s="564"/>
      <c r="L882" s="564"/>
      <c r="M882" s="564"/>
      <c r="N882" s="564"/>
      <c r="O882" s="3"/>
    </row>
    <row r="883" spans="1:16">
      <c r="C883" s="1209" t="s">
        <v>6</v>
      </c>
      <c r="D883" s="1209"/>
      <c r="E883" s="1209"/>
      <c r="F883" s="1209"/>
      <c r="G883" s="1209"/>
      <c r="H883" s="1209"/>
      <c r="I883" s="1209"/>
      <c r="J883" s="1209"/>
      <c r="K883" s="1209"/>
      <c r="L883" s="1209"/>
      <c r="M883" s="1209"/>
      <c r="N883" s="1209"/>
      <c r="O883" s="1209"/>
    </row>
    <row r="884" spans="1:16">
      <c r="C884" s="1209"/>
      <c r="D884" s="1209"/>
      <c r="E884" s="1209"/>
      <c r="F884" s="1209"/>
      <c r="G884" s="1209"/>
      <c r="H884" s="1209"/>
      <c r="I884" s="1209"/>
      <c r="J884" s="1209"/>
      <c r="K884" s="1209"/>
      <c r="L884" s="1209"/>
      <c r="M884" s="1209"/>
      <c r="N884" s="1209"/>
      <c r="O884" s="1209"/>
    </row>
    <row r="887" spans="1:16" ht="20.25">
      <c r="A887" s="447" t="str">
        <f>""&amp;A811&amp;" Worksheet J -  ATRR PROJECTED Calculation for PJM Projects Charged to Benefiting Zones"</f>
        <v xml:space="preserve"> Worksheet J -  ATRR PROJECTED Calculation for PJM Projects Charged to Benefiting Zones</v>
      </c>
      <c r="B887" s="3"/>
      <c r="C887" s="3"/>
      <c r="D887" s="47"/>
      <c r="E887" s="3"/>
      <c r="F887" s="489"/>
      <c r="G887" s="3"/>
      <c r="H887" s="490"/>
      <c r="K887" s="398"/>
      <c r="L887" s="398"/>
      <c r="M887" s="398"/>
      <c r="N887" s="398" t="str">
        <f>"Page "&amp;SUM(P$8:P887)&amp;" of "</f>
        <v xml:space="preserve">Page 11 of </v>
      </c>
      <c r="O887" s="448">
        <f>COUNT(P$8:P$56656)</f>
        <v>11</v>
      </c>
      <c r="P887">
        <v>1</v>
      </c>
    </row>
    <row r="888" spans="1:16" ht="20.25">
      <c r="A888" s="447"/>
      <c r="B888" s="3"/>
      <c r="C888" s="3"/>
      <c r="D888" s="47"/>
      <c r="E888" s="3"/>
      <c r="F888" s="489"/>
      <c r="G888" s="3"/>
      <c r="H888" s="490"/>
      <c r="K888" s="398"/>
      <c r="L888" s="398"/>
      <c r="M888" s="398"/>
      <c r="N888" s="398"/>
      <c r="O888" s="448"/>
    </row>
    <row r="889" spans="1:16" ht="18">
      <c r="B889" s="449" t="s">
        <v>472</v>
      </c>
      <c r="C889" s="122" t="s">
        <v>93</v>
      </c>
      <c r="D889" s="47"/>
      <c r="E889" s="3"/>
      <c r="F889" s="3"/>
      <c r="G889" s="3"/>
      <c r="H889" s="490"/>
      <c r="I889" s="490"/>
      <c r="J889" s="503"/>
      <c r="K889" s="490"/>
      <c r="L889" s="490"/>
      <c r="M889" s="490"/>
      <c r="N889" s="490"/>
      <c r="O889" s="3"/>
    </row>
    <row r="890" spans="1:16" ht="18.75">
      <c r="B890" s="449"/>
      <c r="C890" s="6"/>
      <c r="D890" s="47"/>
      <c r="E890" s="3"/>
      <c r="F890" s="3"/>
      <c r="G890" s="3"/>
      <c r="H890" s="490"/>
      <c r="I890" s="490"/>
      <c r="J890" s="503"/>
      <c r="K890" s="490"/>
      <c r="L890" s="490"/>
      <c r="M890" s="490"/>
      <c r="N890" s="490"/>
      <c r="O890" s="3"/>
    </row>
    <row r="891" spans="1:16" ht="18.75">
      <c r="B891" s="449"/>
      <c r="C891" s="6" t="s">
        <v>94</v>
      </c>
      <c r="D891" s="47"/>
      <c r="E891" s="3"/>
      <c r="F891" s="3"/>
      <c r="G891" s="3"/>
      <c r="H891" s="490"/>
      <c r="I891" s="490"/>
      <c r="J891" s="503"/>
      <c r="K891" s="490"/>
      <c r="L891" s="490"/>
      <c r="M891" s="490"/>
      <c r="N891" s="490"/>
      <c r="O891" s="3"/>
    </row>
    <row r="892" spans="1:16" ht="15.75" thickBot="1">
      <c r="C892" s="132"/>
      <c r="D892" s="47"/>
      <c r="E892" s="3"/>
      <c r="F892" s="3"/>
      <c r="G892" s="3"/>
      <c r="H892" s="490"/>
      <c r="I892" s="490"/>
      <c r="J892" s="503"/>
      <c r="K892" s="490"/>
      <c r="L892" s="490"/>
      <c r="M892" s="490"/>
      <c r="N892" s="490"/>
      <c r="O892" s="3"/>
    </row>
    <row r="893" spans="1:16" ht="15.75">
      <c r="C893" s="451" t="s">
        <v>95</v>
      </c>
      <c r="D893" s="47"/>
      <c r="E893" s="3"/>
      <c r="F893" s="3"/>
      <c r="G893" s="566"/>
      <c r="H893" s="3" t="s">
        <v>74</v>
      </c>
      <c r="I893" s="3"/>
      <c r="J893" s="3"/>
      <c r="K893" s="509" t="s">
        <v>99</v>
      </c>
      <c r="L893" s="510"/>
      <c r="M893" s="511"/>
      <c r="N893" s="512">
        <f>IF(I899=0,0,VLOOKUP(I899,C906:O965,5))</f>
        <v>931422.3342337684</v>
      </c>
      <c r="O893" s="3"/>
    </row>
    <row r="894" spans="1:16" ht="15.75">
      <c r="C894" s="451"/>
      <c r="D894" s="47"/>
      <c r="E894" s="3"/>
      <c r="F894" s="3"/>
      <c r="G894" s="3"/>
      <c r="H894" s="513"/>
      <c r="I894" s="513"/>
      <c r="J894" s="514"/>
      <c r="K894" s="515" t="s">
        <v>100</v>
      </c>
      <c r="L894" s="516"/>
      <c r="M894" s="3"/>
      <c r="N894" s="517">
        <f>IF(I899=0,0,VLOOKUP(I899,C906:O965,6))</f>
        <v>931422.3342337684</v>
      </c>
      <c r="O894" s="3"/>
    </row>
    <row r="895" spans="1:16" ht="13.5" thickBot="1">
      <c r="C895" s="518" t="s">
        <v>96</v>
      </c>
      <c r="D895" s="1210" t="s">
        <v>829</v>
      </c>
      <c r="E895" s="1210"/>
      <c r="F895" s="1210"/>
      <c r="G895" s="1210"/>
      <c r="H895" s="1210"/>
      <c r="I895" s="1210"/>
      <c r="J895" s="503"/>
      <c r="K895" s="519" t="s">
        <v>238</v>
      </c>
      <c r="L895" s="520"/>
      <c r="M895" s="520"/>
      <c r="N895" s="521">
        <f>+N894-N893</f>
        <v>0</v>
      </c>
      <c r="O895" s="3"/>
    </row>
    <row r="896" spans="1:16">
      <c r="C896" s="522"/>
      <c r="D896" s="1210"/>
      <c r="E896" s="1210"/>
      <c r="F896" s="1210"/>
      <c r="G896" s="1210"/>
      <c r="H896" s="1210"/>
      <c r="I896" s="1210"/>
      <c r="J896" s="503"/>
      <c r="K896" s="490"/>
      <c r="L896" s="490"/>
      <c r="M896" s="490"/>
      <c r="N896" s="490"/>
      <c r="O896" s="3"/>
    </row>
    <row r="897" spans="2:15" ht="13.5" thickBot="1">
      <c r="C897" s="522"/>
      <c r="D897" s="3"/>
      <c r="E897" s="524"/>
      <c r="F897" s="524"/>
      <c r="G897" s="524"/>
      <c r="H897" s="524"/>
      <c r="I897" s="524"/>
      <c r="J897" s="524"/>
      <c r="K897" s="524"/>
      <c r="L897" s="524"/>
      <c r="M897" s="524"/>
      <c r="N897" s="524"/>
      <c r="O897" s="3"/>
    </row>
    <row r="898" spans="2:15" ht="13.5" thickBot="1">
      <c r="C898" s="525" t="s">
        <v>97</v>
      </c>
      <c r="D898" s="526"/>
      <c r="E898" s="526"/>
      <c r="F898" s="526"/>
      <c r="G898" s="526"/>
      <c r="H898" s="526"/>
      <c r="I898" s="527"/>
      <c r="K898" s="3"/>
      <c r="L898" s="3"/>
      <c r="M898" s="3"/>
      <c r="N898" s="3"/>
      <c r="O898" s="3"/>
    </row>
    <row r="899" spans="2:15" ht="15">
      <c r="C899" s="528" t="s">
        <v>75</v>
      </c>
      <c r="D899" s="957">
        <v>8427428</v>
      </c>
      <c r="E899" s="3" t="s">
        <v>76</v>
      </c>
      <c r="G899" s="47"/>
      <c r="H899" s="47"/>
      <c r="I899" s="529">
        <f>$L$26</f>
        <v>2025</v>
      </c>
      <c r="J899" s="70"/>
      <c r="K899" s="1211" t="s">
        <v>247</v>
      </c>
      <c r="L899" s="1211"/>
      <c r="M899" s="1211"/>
      <c r="N899" s="1211"/>
      <c r="O899" s="1211"/>
    </row>
    <row r="900" spans="2:15">
      <c r="C900" s="528" t="s">
        <v>78</v>
      </c>
      <c r="D900" s="569">
        <v>2016</v>
      </c>
      <c r="E900" s="528" t="s">
        <v>79</v>
      </c>
      <c r="F900" s="47"/>
      <c r="H900"/>
      <c r="I900" s="570">
        <f>IF(G893="",0,$F$17)</f>
        <v>0</v>
      </c>
      <c r="J900" s="530"/>
      <c r="K900" s="503" t="s">
        <v>247</v>
      </c>
    </row>
    <row r="901" spans="2:15">
      <c r="C901" s="528" t="s">
        <v>80</v>
      </c>
      <c r="D901" s="958">
        <v>6</v>
      </c>
      <c r="E901" s="528" t="s">
        <v>81</v>
      </c>
      <c r="F901" s="47"/>
      <c r="H901"/>
      <c r="I901" s="531">
        <f>$G$70</f>
        <v>0.11032660055737779</v>
      </c>
      <c r="J901" s="489"/>
      <c r="K901" t="str">
        <f>"          INPUT PROJECTED ARR (WITH &amp; WITHOUT INCENTIVES) FROM EACH PRIOR YEAR"</f>
        <v xml:space="preserve">          INPUT PROJECTED ARR (WITH &amp; WITHOUT INCENTIVES) FROM EACH PRIOR YEAR</v>
      </c>
    </row>
    <row r="902" spans="2:15">
      <c r="C902" s="528" t="s">
        <v>82</v>
      </c>
      <c r="D902" s="532">
        <f>$G$79</f>
        <v>36</v>
      </c>
      <c r="E902" s="528" t="s">
        <v>83</v>
      </c>
      <c r="F902" s="47"/>
      <c r="H902"/>
      <c r="I902" s="531">
        <f>IF(G893="",I901,$G$69)</f>
        <v>0.11032660055737779</v>
      </c>
      <c r="J902" s="489"/>
      <c r="K902" t="s">
        <v>160</v>
      </c>
    </row>
    <row r="903" spans="2:15" ht="13.5" thickBot="1">
      <c r="C903" s="528" t="s">
        <v>84</v>
      </c>
      <c r="D903" s="567" t="s">
        <v>812</v>
      </c>
      <c r="E903" s="533" t="s">
        <v>85</v>
      </c>
      <c r="F903" s="534"/>
      <c r="G903" s="535"/>
      <c r="H903" s="535"/>
      <c r="I903" s="521">
        <f>IF(D899=0,0,D899/D902)</f>
        <v>234095.22222222222</v>
      </c>
      <c r="J903" s="503"/>
      <c r="K903" s="503" t="s">
        <v>166</v>
      </c>
      <c r="L903" s="503"/>
      <c r="M903" s="503"/>
      <c r="N903" s="503"/>
      <c r="O903" s="3"/>
    </row>
    <row r="904" spans="2:15" ht="51">
      <c r="B904" s="450"/>
      <c r="C904" s="536" t="s">
        <v>75</v>
      </c>
      <c r="D904" s="537" t="s">
        <v>86</v>
      </c>
      <c r="E904" s="538" t="s">
        <v>87</v>
      </c>
      <c r="F904" s="537" t="s">
        <v>88</v>
      </c>
      <c r="G904" s="538" t="s">
        <v>159</v>
      </c>
      <c r="H904" s="539" t="s">
        <v>159</v>
      </c>
      <c r="I904" s="536" t="s">
        <v>98</v>
      </c>
      <c r="J904" s="540"/>
      <c r="K904" s="538" t="s">
        <v>168</v>
      </c>
      <c r="L904" s="541"/>
      <c r="M904" s="538" t="s">
        <v>168</v>
      </c>
      <c r="N904" s="541"/>
      <c r="O904" s="541"/>
    </row>
    <row r="905" spans="2:15" ht="13.5" thickBot="1">
      <c r="C905" s="542" t="s">
        <v>475</v>
      </c>
      <c r="D905" s="543" t="s">
        <v>476</v>
      </c>
      <c r="E905" s="542" t="s">
        <v>369</v>
      </c>
      <c r="F905" s="543" t="s">
        <v>476</v>
      </c>
      <c r="G905" s="544" t="s">
        <v>101</v>
      </c>
      <c r="H905" s="545" t="s">
        <v>103</v>
      </c>
      <c r="I905" s="542" t="s">
        <v>15</v>
      </c>
      <c r="J905" s="546"/>
      <c r="K905" s="544" t="s">
        <v>90</v>
      </c>
      <c r="L905" s="547"/>
      <c r="M905" s="544" t="s">
        <v>103</v>
      </c>
      <c r="N905" s="547"/>
      <c r="O905" s="547"/>
    </row>
    <row r="906" spans="2:15">
      <c r="C906" s="548">
        <f>IF(D900= "","-",D900)</f>
        <v>2016</v>
      </c>
      <c r="D906" s="506">
        <f>+D899</f>
        <v>8427428</v>
      </c>
      <c r="E906" s="549">
        <f>+I903/12*(12-D901)</f>
        <v>117047.61111111112</v>
      </c>
      <c r="F906" s="506">
        <f>+D906-E906</f>
        <v>8310380.388888889</v>
      </c>
      <c r="G906" s="731">
        <f>+$I$96*((D906+F906)/2)+E906</f>
        <v>1040360.3612745468</v>
      </c>
      <c r="H906" s="732">
        <f>$I$97*((D906+F906)/2)+E906</f>
        <v>1040360.3612745468</v>
      </c>
      <c r="I906" s="552">
        <f>+H906-G906</f>
        <v>0</v>
      </c>
      <c r="J906" s="552"/>
      <c r="K906" s="571" t="s">
        <v>414</v>
      </c>
      <c r="L906" s="553"/>
      <c r="M906" s="571">
        <v>3283917</v>
      </c>
      <c r="N906" s="553"/>
      <c r="O906" s="553"/>
    </row>
    <row r="907" spans="2:15">
      <c r="C907" s="966">
        <f>IF(D900="","-",+C906+1)</f>
        <v>2017</v>
      </c>
      <c r="D907" s="506">
        <f t="shared" ref="D907:D965" si="54">F906</f>
        <v>8310380.388888889</v>
      </c>
      <c r="E907" s="549">
        <f>IF(D907&gt;$I$903,$I$903,D907)</f>
        <v>234095.22222222222</v>
      </c>
      <c r="F907" s="506">
        <f t="shared" ref="F907:F965" si="55">+D907-E907</f>
        <v>8076285.166666667</v>
      </c>
      <c r="G907" s="554">
        <f t="shared" ref="G907:G965" si="56">+$I$96*((D907+F907)/2)+E907</f>
        <v>1138037.7748297818</v>
      </c>
      <c r="H907" s="555">
        <f t="shared" ref="H907:H965" si="57">$I$97*((D907+F907)/2)+E907</f>
        <v>1138037.7748297818</v>
      </c>
      <c r="I907" s="552">
        <f t="shared" ref="I907:I965" si="58">+H907-G907</f>
        <v>0</v>
      </c>
      <c r="J907" s="552"/>
      <c r="K907" s="572" t="s">
        <v>414</v>
      </c>
      <c r="L907" s="556"/>
      <c r="M907" s="572">
        <v>3670194</v>
      </c>
      <c r="N907" s="556"/>
      <c r="O907" s="556"/>
    </row>
    <row r="908" spans="2:15">
      <c r="C908" s="966">
        <f>IF(D900="","-",+C907+1)</f>
        <v>2018</v>
      </c>
      <c r="D908" s="506">
        <f t="shared" si="54"/>
        <v>8076285.166666667</v>
      </c>
      <c r="E908" s="549">
        <f t="shared" ref="E908:E965" si="59">IF(D908&gt;$I$903,$I$903,D908)</f>
        <v>234095.22222222222</v>
      </c>
      <c r="F908" s="506">
        <f t="shared" si="55"/>
        <v>7842189.944444445</v>
      </c>
      <c r="G908" s="554">
        <f t="shared" si="56"/>
        <v>1112210.8447552801</v>
      </c>
      <c r="H908" s="555">
        <f t="shared" si="57"/>
        <v>1112210.8447552801</v>
      </c>
      <c r="I908" s="552">
        <f t="shared" si="58"/>
        <v>0</v>
      </c>
      <c r="J908" s="552"/>
      <c r="K908" s="572"/>
      <c r="L908" s="556"/>
      <c r="M908" s="572"/>
      <c r="N908" s="556"/>
      <c r="O908" s="556"/>
    </row>
    <row r="909" spans="2:15">
      <c r="C909" s="956">
        <f>IF(D900="","-",+C908+1)</f>
        <v>2019</v>
      </c>
      <c r="D909" s="506">
        <f t="shared" si="54"/>
        <v>7842189.944444445</v>
      </c>
      <c r="E909" s="549">
        <f t="shared" si="59"/>
        <v>234095.22222222222</v>
      </c>
      <c r="F909" s="506">
        <f t="shared" si="55"/>
        <v>7608094.7222222229</v>
      </c>
      <c r="G909" s="554">
        <f t="shared" si="56"/>
        <v>1086383.9146807783</v>
      </c>
      <c r="H909" s="555">
        <f t="shared" si="57"/>
        <v>1086383.9146807783</v>
      </c>
      <c r="I909" s="552">
        <f t="shared" si="58"/>
        <v>0</v>
      </c>
      <c r="J909" s="552"/>
      <c r="K909" s="572"/>
      <c r="L909" s="556"/>
      <c r="M909" s="572"/>
      <c r="N909" s="556"/>
      <c r="O909" s="556"/>
    </row>
    <row r="910" spans="2:15">
      <c r="C910" s="548">
        <f>IF(D900="","-",+C909+1)</f>
        <v>2020</v>
      </c>
      <c r="D910" s="506">
        <f t="shared" si="54"/>
        <v>7608094.7222222229</v>
      </c>
      <c r="E910" s="549">
        <f t="shared" si="59"/>
        <v>234095.22222222222</v>
      </c>
      <c r="F910" s="506">
        <f t="shared" si="55"/>
        <v>7373999.5000000009</v>
      </c>
      <c r="G910" s="554">
        <f t="shared" si="56"/>
        <v>1060556.9846062767</v>
      </c>
      <c r="H910" s="555">
        <f t="shared" si="57"/>
        <v>1060556.9846062767</v>
      </c>
      <c r="I910" s="552">
        <f t="shared" si="58"/>
        <v>0</v>
      </c>
      <c r="J910" s="552"/>
      <c r="K910" s="572"/>
      <c r="L910" s="556"/>
      <c r="M910" s="572"/>
      <c r="N910" s="556"/>
      <c r="O910" s="556"/>
    </row>
    <row r="911" spans="2:15">
      <c r="C911" s="548">
        <f>IF(D900="","-",+C910+1)</f>
        <v>2021</v>
      </c>
      <c r="D911" s="506">
        <f t="shared" si="54"/>
        <v>7373999.5000000009</v>
      </c>
      <c r="E911" s="549">
        <f t="shared" si="59"/>
        <v>234095.22222222222</v>
      </c>
      <c r="F911" s="506">
        <f t="shared" si="55"/>
        <v>7139904.2777777789</v>
      </c>
      <c r="G911" s="554">
        <f t="shared" si="56"/>
        <v>1034730.0545317751</v>
      </c>
      <c r="H911" s="555">
        <f t="shared" si="57"/>
        <v>1034730.0545317751</v>
      </c>
      <c r="I911" s="552">
        <f t="shared" si="58"/>
        <v>0</v>
      </c>
      <c r="J911" s="552"/>
      <c r="K911" s="572"/>
      <c r="L911" s="556"/>
      <c r="M911" s="572"/>
      <c r="N911" s="556"/>
      <c r="O911" s="556"/>
    </row>
    <row r="912" spans="2:15">
      <c r="C912" s="548">
        <f>IF(D900="","-",+C911+1)</f>
        <v>2022</v>
      </c>
      <c r="D912" s="506">
        <f t="shared" si="54"/>
        <v>7139904.2777777789</v>
      </c>
      <c r="E912" s="549">
        <f t="shared" si="59"/>
        <v>234095.22222222222</v>
      </c>
      <c r="F912" s="506">
        <f t="shared" si="55"/>
        <v>6905809.0555555569</v>
      </c>
      <c r="G912" s="554">
        <f t="shared" si="56"/>
        <v>1008903.1244572734</v>
      </c>
      <c r="H912" s="555">
        <f t="shared" si="57"/>
        <v>1008903.1244572734</v>
      </c>
      <c r="I912" s="552">
        <f t="shared" si="58"/>
        <v>0</v>
      </c>
      <c r="J912" s="552"/>
      <c r="K912" s="572"/>
      <c r="L912" s="556"/>
      <c r="M912" s="572"/>
      <c r="N912" s="556"/>
      <c r="O912" s="556"/>
    </row>
    <row r="913" spans="3:15">
      <c r="C913" s="548">
        <f>IF(D900="","-",+C912+1)</f>
        <v>2023</v>
      </c>
      <c r="D913" s="506">
        <f t="shared" si="54"/>
        <v>6905809.0555555569</v>
      </c>
      <c r="E913" s="549">
        <f t="shared" si="59"/>
        <v>234095.22222222222</v>
      </c>
      <c r="F913" s="506">
        <f t="shared" si="55"/>
        <v>6671713.8333333349</v>
      </c>
      <c r="G913" s="554">
        <f t="shared" si="56"/>
        <v>983076.19438277173</v>
      </c>
      <c r="H913" s="555">
        <f t="shared" si="57"/>
        <v>983076.19438277173</v>
      </c>
      <c r="I913" s="552">
        <f t="shared" si="58"/>
        <v>0</v>
      </c>
      <c r="J913" s="552"/>
      <c r="K913" s="572"/>
      <c r="L913" s="556"/>
      <c r="M913" s="572"/>
      <c r="N913" s="556"/>
      <c r="O913" s="556"/>
    </row>
    <row r="914" spans="3:15">
      <c r="C914" s="548">
        <f>IF(D900="","-",+C913+1)</f>
        <v>2024</v>
      </c>
      <c r="D914" s="506">
        <f t="shared" si="54"/>
        <v>6671713.8333333349</v>
      </c>
      <c r="E914" s="549">
        <f t="shared" si="59"/>
        <v>234095.22222222222</v>
      </c>
      <c r="F914" s="506">
        <f t="shared" si="55"/>
        <v>6437618.6111111129</v>
      </c>
      <c r="G914" s="554">
        <f t="shared" si="56"/>
        <v>957249.26430827007</v>
      </c>
      <c r="H914" s="555">
        <f t="shared" si="57"/>
        <v>957249.26430827007</v>
      </c>
      <c r="I914" s="552">
        <f t="shared" si="58"/>
        <v>0</v>
      </c>
      <c r="J914" s="552"/>
      <c r="K914" s="572"/>
      <c r="L914" s="556"/>
      <c r="M914" s="572"/>
      <c r="N914" s="556"/>
      <c r="O914" s="556"/>
    </row>
    <row r="915" spans="3:15">
      <c r="C915" s="548">
        <f>IF(D900="","-",+C914+1)</f>
        <v>2025</v>
      </c>
      <c r="D915" s="506">
        <f t="shared" si="54"/>
        <v>6437618.6111111129</v>
      </c>
      <c r="E915" s="549">
        <f t="shared" si="59"/>
        <v>234095.22222222222</v>
      </c>
      <c r="F915" s="506">
        <f t="shared" si="55"/>
        <v>6203523.3888888909</v>
      </c>
      <c r="G915" s="554">
        <f t="shared" si="56"/>
        <v>931422.3342337684</v>
      </c>
      <c r="H915" s="555">
        <f t="shared" si="57"/>
        <v>931422.3342337684</v>
      </c>
      <c r="I915" s="552">
        <f t="shared" si="58"/>
        <v>0</v>
      </c>
      <c r="J915" s="552"/>
      <c r="K915" s="572"/>
      <c r="L915" s="556"/>
      <c r="M915" s="572"/>
      <c r="N915" s="556"/>
      <c r="O915" s="556"/>
    </row>
    <row r="916" spans="3:15">
      <c r="C916" s="548">
        <f>IF(D900="","-",+C915+1)</f>
        <v>2026</v>
      </c>
      <c r="D916" s="506">
        <f t="shared" si="54"/>
        <v>6203523.3888888909</v>
      </c>
      <c r="E916" s="549">
        <f t="shared" si="59"/>
        <v>234095.22222222222</v>
      </c>
      <c r="F916" s="506">
        <f t="shared" si="55"/>
        <v>5969428.1666666688</v>
      </c>
      <c r="G916" s="554">
        <f t="shared" si="56"/>
        <v>905595.40415926673</v>
      </c>
      <c r="H916" s="555">
        <f t="shared" si="57"/>
        <v>905595.40415926673</v>
      </c>
      <c r="I916" s="552">
        <f t="shared" si="58"/>
        <v>0</v>
      </c>
      <c r="J916" s="552"/>
      <c r="K916" s="572"/>
      <c r="L916" s="556"/>
      <c r="M916" s="572"/>
      <c r="N916" s="556"/>
      <c r="O916" s="556"/>
    </row>
    <row r="917" spans="3:15">
      <c r="C917" s="548">
        <f>IF(D900="","-",+C916+1)</f>
        <v>2027</v>
      </c>
      <c r="D917" s="506">
        <f t="shared" si="54"/>
        <v>5969428.1666666688</v>
      </c>
      <c r="E917" s="549">
        <f t="shared" si="59"/>
        <v>234095.22222222222</v>
      </c>
      <c r="F917" s="506">
        <f t="shared" si="55"/>
        <v>5735332.9444444468</v>
      </c>
      <c r="G917" s="554">
        <f t="shared" si="56"/>
        <v>879768.47408476507</v>
      </c>
      <c r="H917" s="555">
        <f t="shared" si="57"/>
        <v>879768.47408476507</v>
      </c>
      <c r="I917" s="552">
        <f t="shared" si="58"/>
        <v>0</v>
      </c>
      <c r="J917" s="552"/>
      <c r="K917" s="572"/>
      <c r="L917" s="556"/>
      <c r="M917" s="572"/>
      <c r="N917" s="556"/>
      <c r="O917" s="556"/>
    </row>
    <row r="918" spans="3:15">
      <c r="C918" s="548">
        <f>IF(D900="","-",+C917+1)</f>
        <v>2028</v>
      </c>
      <c r="D918" s="506">
        <f t="shared" si="54"/>
        <v>5735332.9444444468</v>
      </c>
      <c r="E918" s="549">
        <f t="shared" si="59"/>
        <v>234095.22222222222</v>
      </c>
      <c r="F918" s="506">
        <f t="shared" si="55"/>
        <v>5501237.7222222248</v>
      </c>
      <c r="G918" s="554">
        <f t="shared" si="56"/>
        <v>853941.54401026329</v>
      </c>
      <c r="H918" s="555">
        <f t="shared" si="57"/>
        <v>853941.54401026329</v>
      </c>
      <c r="I918" s="552">
        <f t="shared" si="58"/>
        <v>0</v>
      </c>
      <c r="J918" s="552"/>
      <c r="K918" s="572"/>
      <c r="L918" s="556"/>
      <c r="M918" s="572"/>
      <c r="N918" s="557"/>
      <c r="O918" s="556"/>
    </row>
    <row r="919" spans="3:15">
      <c r="C919" s="548">
        <f>IF(D900="","-",+C918+1)</f>
        <v>2029</v>
      </c>
      <c r="D919" s="506">
        <f t="shared" si="54"/>
        <v>5501237.7222222248</v>
      </c>
      <c r="E919" s="549">
        <f t="shared" si="59"/>
        <v>234095.22222222222</v>
      </c>
      <c r="F919" s="506">
        <f t="shared" si="55"/>
        <v>5267142.5000000028</v>
      </c>
      <c r="G919" s="554">
        <f t="shared" si="56"/>
        <v>828114.61393576162</v>
      </c>
      <c r="H919" s="555">
        <f t="shared" si="57"/>
        <v>828114.61393576162</v>
      </c>
      <c r="I919" s="552">
        <f t="shared" si="58"/>
        <v>0</v>
      </c>
      <c r="J919" s="552"/>
      <c r="K919" s="572"/>
      <c r="L919" s="556"/>
      <c r="M919" s="572"/>
      <c r="N919" s="556"/>
      <c r="O919" s="556"/>
    </row>
    <row r="920" spans="3:15">
      <c r="C920" s="548">
        <f>IF(D900="","-",+C919+1)</f>
        <v>2030</v>
      </c>
      <c r="D920" s="506">
        <f t="shared" si="54"/>
        <v>5267142.5000000028</v>
      </c>
      <c r="E920" s="549">
        <f t="shared" si="59"/>
        <v>234095.22222222222</v>
      </c>
      <c r="F920" s="506">
        <f t="shared" si="55"/>
        <v>5033047.2777777808</v>
      </c>
      <c r="G920" s="554">
        <f t="shared" si="56"/>
        <v>802287.68386125995</v>
      </c>
      <c r="H920" s="555">
        <f t="shared" si="57"/>
        <v>802287.68386125995</v>
      </c>
      <c r="I920" s="552">
        <f t="shared" si="58"/>
        <v>0</v>
      </c>
      <c r="J920" s="552"/>
      <c r="K920" s="572"/>
      <c r="L920" s="556"/>
      <c r="M920" s="572"/>
      <c r="N920" s="556"/>
      <c r="O920" s="556"/>
    </row>
    <row r="921" spans="3:15">
      <c r="C921" s="548">
        <f>IF(D900="","-",+C920+1)</f>
        <v>2031</v>
      </c>
      <c r="D921" s="506">
        <f t="shared" si="54"/>
        <v>5033047.2777777808</v>
      </c>
      <c r="E921" s="549">
        <f t="shared" si="59"/>
        <v>234095.22222222222</v>
      </c>
      <c r="F921" s="506">
        <f t="shared" si="55"/>
        <v>4798952.0555555588</v>
      </c>
      <c r="G921" s="554">
        <f t="shared" si="56"/>
        <v>776460.75378675829</v>
      </c>
      <c r="H921" s="555">
        <f t="shared" si="57"/>
        <v>776460.75378675829</v>
      </c>
      <c r="I921" s="552">
        <f t="shared" si="58"/>
        <v>0</v>
      </c>
      <c r="J921" s="552"/>
      <c r="K921" s="572"/>
      <c r="L921" s="556"/>
      <c r="M921" s="572"/>
      <c r="N921" s="556"/>
      <c r="O921" s="556"/>
    </row>
    <row r="922" spans="3:15">
      <c r="C922" s="548">
        <f>IF(D900="","-",+C921+1)</f>
        <v>2032</v>
      </c>
      <c r="D922" s="506">
        <f t="shared" si="54"/>
        <v>4798952.0555555588</v>
      </c>
      <c r="E922" s="549">
        <f t="shared" si="59"/>
        <v>234095.22222222222</v>
      </c>
      <c r="F922" s="506">
        <f t="shared" si="55"/>
        <v>4564856.8333333367</v>
      </c>
      <c r="G922" s="554">
        <f t="shared" si="56"/>
        <v>750633.82371225662</v>
      </c>
      <c r="H922" s="555">
        <f t="shared" si="57"/>
        <v>750633.82371225662</v>
      </c>
      <c r="I922" s="552">
        <f t="shared" si="58"/>
        <v>0</v>
      </c>
      <c r="J922" s="552"/>
      <c r="K922" s="572"/>
      <c r="L922" s="556"/>
      <c r="M922" s="572"/>
      <c r="N922" s="556"/>
      <c r="O922" s="556"/>
    </row>
    <row r="923" spans="3:15">
      <c r="C923" s="548">
        <f>IF(D900="","-",+C922+1)</f>
        <v>2033</v>
      </c>
      <c r="D923" s="506">
        <f t="shared" si="54"/>
        <v>4564856.8333333367</v>
      </c>
      <c r="E923" s="549">
        <f t="shared" si="59"/>
        <v>234095.22222222222</v>
      </c>
      <c r="F923" s="506">
        <f t="shared" si="55"/>
        <v>4330761.6111111147</v>
      </c>
      <c r="G923" s="554">
        <f t="shared" si="56"/>
        <v>724806.89363775495</v>
      </c>
      <c r="H923" s="555">
        <f t="shared" si="57"/>
        <v>724806.89363775495</v>
      </c>
      <c r="I923" s="552">
        <f t="shared" si="58"/>
        <v>0</v>
      </c>
      <c r="J923" s="552"/>
      <c r="K923" s="572"/>
      <c r="L923" s="556"/>
      <c r="M923" s="572"/>
      <c r="N923" s="556"/>
      <c r="O923" s="556"/>
    </row>
    <row r="924" spans="3:15">
      <c r="C924" s="548">
        <f>IF(D900="","-",+C923+1)</f>
        <v>2034</v>
      </c>
      <c r="D924" s="506">
        <f t="shared" si="54"/>
        <v>4330761.6111111147</v>
      </c>
      <c r="E924" s="549">
        <f t="shared" si="59"/>
        <v>234095.22222222222</v>
      </c>
      <c r="F924" s="506">
        <f t="shared" si="55"/>
        <v>4096666.3888888927</v>
      </c>
      <c r="G924" s="554">
        <f t="shared" si="56"/>
        <v>698979.96356325329</v>
      </c>
      <c r="H924" s="555">
        <f t="shared" si="57"/>
        <v>698979.96356325329</v>
      </c>
      <c r="I924" s="552">
        <f t="shared" si="58"/>
        <v>0</v>
      </c>
      <c r="J924" s="552"/>
      <c r="K924" s="572"/>
      <c r="L924" s="556"/>
      <c r="M924" s="572"/>
      <c r="N924" s="556"/>
      <c r="O924" s="556"/>
    </row>
    <row r="925" spans="3:15">
      <c r="C925" s="548">
        <f>IF(D900="","-",+C924+1)</f>
        <v>2035</v>
      </c>
      <c r="D925" s="506">
        <f t="shared" si="54"/>
        <v>4096666.3888888927</v>
      </c>
      <c r="E925" s="549">
        <f t="shared" si="59"/>
        <v>234095.22222222222</v>
      </c>
      <c r="F925" s="506">
        <f t="shared" si="55"/>
        <v>3862571.1666666707</v>
      </c>
      <c r="G925" s="554">
        <f t="shared" si="56"/>
        <v>673153.03348875162</v>
      </c>
      <c r="H925" s="555">
        <f t="shared" si="57"/>
        <v>673153.03348875162</v>
      </c>
      <c r="I925" s="552">
        <f t="shared" si="58"/>
        <v>0</v>
      </c>
      <c r="J925" s="552"/>
      <c r="K925" s="572"/>
      <c r="L925" s="556"/>
      <c r="M925" s="572"/>
      <c r="N925" s="556"/>
      <c r="O925" s="556"/>
    </row>
    <row r="926" spans="3:15">
      <c r="C926" s="548">
        <f>IF(D900="","-",+C925+1)</f>
        <v>2036</v>
      </c>
      <c r="D926" s="506">
        <f t="shared" si="54"/>
        <v>3862571.1666666707</v>
      </c>
      <c r="E926" s="549">
        <f t="shared" si="59"/>
        <v>234095.22222222222</v>
      </c>
      <c r="F926" s="506">
        <f t="shared" si="55"/>
        <v>3628475.9444444487</v>
      </c>
      <c r="G926" s="554">
        <f t="shared" si="56"/>
        <v>647326.10341424984</v>
      </c>
      <c r="H926" s="555">
        <f t="shared" si="57"/>
        <v>647326.10341424984</v>
      </c>
      <c r="I926" s="552">
        <f t="shared" si="58"/>
        <v>0</v>
      </c>
      <c r="J926" s="552"/>
      <c r="K926" s="572"/>
      <c r="L926" s="556"/>
      <c r="M926" s="572"/>
      <c r="N926" s="556"/>
      <c r="O926" s="556"/>
    </row>
    <row r="927" spans="3:15">
      <c r="C927" s="548">
        <f>IF(D900="","-",+C926+1)</f>
        <v>2037</v>
      </c>
      <c r="D927" s="506">
        <f t="shared" si="54"/>
        <v>3628475.9444444487</v>
      </c>
      <c r="E927" s="549">
        <f t="shared" si="59"/>
        <v>234095.22222222222</v>
      </c>
      <c r="F927" s="506">
        <f t="shared" si="55"/>
        <v>3394380.7222222267</v>
      </c>
      <c r="G927" s="554">
        <f t="shared" si="56"/>
        <v>621499.17333974817</v>
      </c>
      <c r="H927" s="555">
        <f t="shared" si="57"/>
        <v>621499.17333974817</v>
      </c>
      <c r="I927" s="552">
        <f t="shared" si="58"/>
        <v>0</v>
      </c>
      <c r="J927" s="552"/>
      <c r="K927" s="572"/>
      <c r="L927" s="556"/>
      <c r="M927" s="572"/>
      <c r="N927" s="556"/>
      <c r="O927" s="556"/>
    </row>
    <row r="928" spans="3:15">
      <c r="C928" s="548">
        <f>IF(D900="","-",+C927+1)</f>
        <v>2038</v>
      </c>
      <c r="D928" s="506">
        <f t="shared" si="54"/>
        <v>3394380.7222222267</v>
      </c>
      <c r="E928" s="549">
        <f t="shared" si="59"/>
        <v>234095.22222222222</v>
      </c>
      <c r="F928" s="506">
        <f t="shared" si="55"/>
        <v>3160285.5000000047</v>
      </c>
      <c r="G928" s="554">
        <f t="shared" si="56"/>
        <v>595672.24326524651</v>
      </c>
      <c r="H928" s="555">
        <f t="shared" si="57"/>
        <v>595672.24326524651</v>
      </c>
      <c r="I928" s="552">
        <f t="shared" si="58"/>
        <v>0</v>
      </c>
      <c r="J928" s="552"/>
      <c r="K928" s="572"/>
      <c r="L928" s="556"/>
      <c r="M928" s="572"/>
      <c r="N928" s="556"/>
      <c r="O928" s="556"/>
    </row>
    <row r="929" spans="3:15">
      <c r="C929" s="548">
        <f>IF(D900="","-",+C928+1)</f>
        <v>2039</v>
      </c>
      <c r="D929" s="506">
        <f t="shared" si="54"/>
        <v>3160285.5000000047</v>
      </c>
      <c r="E929" s="549">
        <f t="shared" si="59"/>
        <v>234095.22222222222</v>
      </c>
      <c r="F929" s="506">
        <f t="shared" si="55"/>
        <v>2926190.2777777826</v>
      </c>
      <c r="G929" s="554">
        <f t="shared" si="56"/>
        <v>569845.31319074484</v>
      </c>
      <c r="H929" s="555">
        <f t="shared" si="57"/>
        <v>569845.31319074484</v>
      </c>
      <c r="I929" s="552">
        <f t="shared" si="58"/>
        <v>0</v>
      </c>
      <c r="J929" s="552"/>
      <c r="K929" s="572"/>
      <c r="L929" s="556"/>
      <c r="M929" s="572"/>
      <c r="N929" s="556"/>
      <c r="O929" s="556"/>
    </row>
    <row r="930" spans="3:15">
      <c r="C930" s="548">
        <f>IF(D900="","-",+C929+1)</f>
        <v>2040</v>
      </c>
      <c r="D930" s="506">
        <f t="shared" si="54"/>
        <v>2926190.2777777826</v>
      </c>
      <c r="E930" s="549">
        <f t="shared" si="59"/>
        <v>234095.22222222222</v>
      </c>
      <c r="F930" s="506">
        <f t="shared" si="55"/>
        <v>2692095.0555555606</v>
      </c>
      <c r="G930" s="554">
        <f t="shared" si="56"/>
        <v>544018.38311624317</v>
      </c>
      <c r="H930" s="555">
        <f t="shared" si="57"/>
        <v>544018.38311624317</v>
      </c>
      <c r="I930" s="552">
        <f t="shared" si="58"/>
        <v>0</v>
      </c>
      <c r="J930" s="552"/>
      <c r="K930" s="572"/>
      <c r="L930" s="556"/>
      <c r="M930" s="572"/>
      <c r="N930" s="556"/>
      <c r="O930" s="556"/>
    </row>
    <row r="931" spans="3:15">
      <c r="C931" s="548">
        <f>IF(D900="","-",+C930+1)</f>
        <v>2041</v>
      </c>
      <c r="D931" s="506">
        <f t="shared" si="54"/>
        <v>2692095.0555555606</v>
      </c>
      <c r="E931" s="549">
        <f t="shared" si="59"/>
        <v>234095.22222222222</v>
      </c>
      <c r="F931" s="506">
        <f t="shared" si="55"/>
        <v>2457999.8333333386</v>
      </c>
      <c r="G931" s="554">
        <f t="shared" si="56"/>
        <v>518191.45304174151</v>
      </c>
      <c r="H931" s="555">
        <f t="shared" si="57"/>
        <v>518191.45304174151</v>
      </c>
      <c r="I931" s="552">
        <f t="shared" si="58"/>
        <v>0</v>
      </c>
      <c r="J931" s="552"/>
      <c r="K931" s="572"/>
      <c r="L931" s="556"/>
      <c r="M931" s="572"/>
      <c r="N931" s="556"/>
      <c r="O931" s="556"/>
    </row>
    <row r="932" spans="3:15">
      <c r="C932" s="548">
        <f>IF(D900="","-",+C931+1)</f>
        <v>2042</v>
      </c>
      <c r="D932" s="506">
        <f t="shared" si="54"/>
        <v>2457999.8333333386</v>
      </c>
      <c r="E932" s="549">
        <f t="shared" si="59"/>
        <v>234095.22222222222</v>
      </c>
      <c r="F932" s="506">
        <f t="shared" si="55"/>
        <v>2223904.6111111166</v>
      </c>
      <c r="G932" s="554">
        <f t="shared" si="56"/>
        <v>492364.52296723984</v>
      </c>
      <c r="H932" s="555">
        <f t="shared" si="57"/>
        <v>492364.52296723984</v>
      </c>
      <c r="I932" s="552">
        <f t="shared" si="58"/>
        <v>0</v>
      </c>
      <c r="J932" s="552"/>
      <c r="K932" s="572"/>
      <c r="L932" s="556"/>
      <c r="M932" s="572"/>
      <c r="N932" s="556"/>
      <c r="O932" s="556"/>
    </row>
    <row r="933" spans="3:15">
      <c r="C933" s="548">
        <f>IF(D900="","-",+C932+1)</f>
        <v>2043</v>
      </c>
      <c r="D933" s="506">
        <f t="shared" si="54"/>
        <v>2223904.6111111166</v>
      </c>
      <c r="E933" s="549">
        <f t="shared" si="59"/>
        <v>234095.22222222222</v>
      </c>
      <c r="F933" s="506">
        <f t="shared" si="55"/>
        <v>1989809.3888888943</v>
      </c>
      <c r="G933" s="554">
        <f t="shared" si="56"/>
        <v>466537.59289273818</v>
      </c>
      <c r="H933" s="555">
        <f t="shared" si="57"/>
        <v>466537.59289273818</v>
      </c>
      <c r="I933" s="552">
        <f t="shared" si="58"/>
        <v>0</v>
      </c>
      <c r="J933" s="552"/>
      <c r="K933" s="572"/>
      <c r="L933" s="556"/>
      <c r="M933" s="572"/>
      <c r="N933" s="556"/>
      <c r="O933" s="556"/>
    </row>
    <row r="934" spans="3:15">
      <c r="C934" s="548">
        <f>IF(D900="","-",+C933+1)</f>
        <v>2044</v>
      </c>
      <c r="D934" s="506">
        <f t="shared" si="54"/>
        <v>1989809.3888888943</v>
      </c>
      <c r="E934" s="549">
        <f t="shared" si="59"/>
        <v>234095.22222222222</v>
      </c>
      <c r="F934" s="506">
        <f t="shared" si="55"/>
        <v>1755714.1666666721</v>
      </c>
      <c r="G934" s="550">
        <f t="shared" si="56"/>
        <v>440710.66281823639</v>
      </c>
      <c r="H934" s="555">
        <f t="shared" si="57"/>
        <v>440710.66281823639</v>
      </c>
      <c r="I934" s="552">
        <f t="shared" si="58"/>
        <v>0</v>
      </c>
      <c r="J934" s="552"/>
      <c r="K934" s="572"/>
      <c r="L934" s="556"/>
      <c r="M934" s="572"/>
      <c r="N934" s="556"/>
      <c r="O934" s="556"/>
    </row>
    <row r="935" spans="3:15">
      <c r="C935" s="548">
        <f>IF(D900="","-",+C934+1)</f>
        <v>2045</v>
      </c>
      <c r="D935" s="506">
        <f t="shared" si="54"/>
        <v>1755714.1666666721</v>
      </c>
      <c r="E935" s="549">
        <f t="shared" si="59"/>
        <v>234095.22222222222</v>
      </c>
      <c r="F935" s="506">
        <f t="shared" si="55"/>
        <v>1521618.9444444499</v>
      </c>
      <c r="G935" s="554">
        <f t="shared" si="56"/>
        <v>414883.73274373473</v>
      </c>
      <c r="H935" s="555">
        <f t="shared" si="57"/>
        <v>414883.73274373473</v>
      </c>
      <c r="I935" s="552">
        <f t="shared" si="58"/>
        <v>0</v>
      </c>
      <c r="J935" s="552"/>
      <c r="K935" s="572"/>
      <c r="L935" s="556"/>
      <c r="M935" s="572"/>
      <c r="N935" s="556"/>
      <c r="O935" s="556"/>
    </row>
    <row r="936" spans="3:15">
      <c r="C936" s="548">
        <f>IF(D900="","-",+C935+1)</f>
        <v>2046</v>
      </c>
      <c r="D936" s="506">
        <f t="shared" si="54"/>
        <v>1521618.9444444499</v>
      </c>
      <c r="E936" s="549">
        <f t="shared" si="59"/>
        <v>234095.22222222222</v>
      </c>
      <c r="F936" s="506">
        <f t="shared" si="55"/>
        <v>1287523.7222222276</v>
      </c>
      <c r="G936" s="554">
        <f t="shared" si="56"/>
        <v>389056.802669233</v>
      </c>
      <c r="H936" s="555">
        <f t="shared" si="57"/>
        <v>389056.802669233</v>
      </c>
      <c r="I936" s="552">
        <f t="shared" si="58"/>
        <v>0</v>
      </c>
      <c r="J936" s="552"/>
      <c r="K936" s="572"/>
      <c r="L936" s="556"/>
      <c r="M936" s="572"/>
      <c r="N936" s="556"/>
      <c r="O936" s="556"/>
    </row>
    <row r="937" spans="3:15">
      <c r="C937" s="548">
        <f>IF(D900="","-",+C936+1)</f>
        <v>2047</v>
      </c>
      <c r="D937" s="506">
        <f t="shared" si="54"/>
        <v>1287523.7222222276</v>
      </c>
      <c r="E937" s="549">
        <f t="shared" si="59"/>
        <v>234095.22222222222</v>
      </c>
      <c r="F937" s="506">
        <f t="shared" si="55"/>
        <v>1053428.5000000054</v>
      </c>
      <c r="G937" s="554">
        <f t="shared" si="56"/>
        <v>363229.87259473134</v>
      </c>
      <c r="H937" s="555">
        <f t="shared" si="57"/>
        <v>363229.87259473134</v>
      </c>
      <c r="I937" s="552">
        <f t="shared" si="58"/>
        <v>0</v>
      </c>
      <c r="J937" s="552"/>
      <c r="K937" s="572"/>
      <c r="L937" s="556"/>
      <c r="M937" s="572"/>
      <c r="N937" s="556"/>
      <c r="O937" s="556"/>
    </row>
    <row r="938" spans="3:15">
      <c r="C938" s="548">
        <f>IF(D900="","-",+C937+1)</f>
        <v>2048</v>
      </c>
      <c r="D938" s="506">
        <f t="shared" si="54"/>
        <v>1053428.5000000054</v>
      </c>
      <c r="E938" s="549">
        <f t="shared" si="59"/>
        <v>234095.22222222222</v>
      </c>
      <c r="F938" s="506">
        <f t="shared" si="55"/>
        <v>819333.27777778311</v>
      </c>
      <c r="G938" s="554">
        <f t="shared" si="56"/>
        <v>337402.94252022961</v>
      </c>
      <c r="H938" s="555">
        <f t="shared" si="57"/>
        <v>337402.94252022961</v>
      </c>
      <c r="I938" s="552">
        <f t="shared" si="58"/>
        <v>0</v>
      </c>
      <c r="J938" s="552"/>
      <c r="K938" s="572"/>
      <c r="L938" s="556"/>
      <c r="M938" s="572"/>
      <c r="N938" s="556"/>
      <c r="O938" s="556"/>
    </row>
    <row r="939" spans="3:15">
      <c r="C939" s="548">
        <f>IF(D900="","-",+C938+1)</f>
        <v>2049</v>
      </c>
      <c r="D939" s="506">
        <f t="shared" si="54"/>
        <v>819333.27777778311</v>
      </c>
      <c r="E939" s="549">
        <f t="shared" si="59"/>
        <v>234095.22222222222</v>
      </c>
      <c r="F939" s="506">
        <f t="shared" si="55"/>
        <v>585238.05555556086</v>
      </c>
      <c r="G939" s="554">
        <f t="shared" si="56"/>
        <v>311576.01244572789</v>
      </c>
      <c r="H939" s="555">
        <f t="shared" si="57"/>
        <v>311576.01244572789</v>
      </c>
      <c r="I939" s="552">
        <f t="shared" si="58"/>
        <v>0</v>
      </c>
      <c r="J939" s="552"/>
      <c r="K939" s="572"/>
      <c r="L939" s="556"/>
      <c r="M939" s="572"/>
      <c r="N939" s="556"/>
      <c r="O939" s="556"/>
    </row>
    <row r="940" spans="3:15">
      <c r="C940" s="548">
        <f>IF(D900="","-",+C939+1)</f>
        <v>2050</v>
      </c>
      <c r="D940" s="506">
        <f t="shared" si="54"/>
        <v>585238.05555556086</v>
      </c>
      <c r="E940" s="549">
        <f t="shared" si="59"/>
        <v>234095.22222222222</v>
      </c>
      <c r="F940" s="506">
        <f t="shared" si="55"/>
        <v>351142.83333333861</v>
      </c>
      <c r="G940" s="554">
        <f t="shared" si="56"/>
        <v>285749.08237122622</v>
      </c>
      <c r="H940" s="555">
        <f t="shared" si="57"/>
        <v>285749.08237122622</v>
      </c>
      <c r="I940" s="552">
        <f t="shared" si="58"/>
        <v>0</v>
      </c>
      <c r="J940" s="552"/>
      <c r="K940" s="572"/>
      <c r="L940" s="556"/>
      <c r="M940" s="572"/>
      <c r="N940" s="556"/>
      <c r="O940" s="556"/>
    </row>
    <row r="941" spans="3:15">
      <c r="C941" s="548">
        <f>IF(D900="","-",+C940+1)</f>
        <v>2051</v>
      </c>
      <c r="D941" s="506">
        <f t="shared" si="54"/>
        <v>351142.83333333861</v>
      </c>
      <c r="E941" s="549">
        <f t="shared" si="59"/>
        <v>234095.22222222222</v>
      </c>
      <c r="F941" s="506">
        <f t="shared" si="55"/>
        <v>117047.61111111639</v>
      </c>
      <c r="G941" s="554">
        <f t="shared" si="56"/>
        <v>259922.1522967245</v>
      </c>
      <c r="H941" s="555">
        <f t="shared" si="57"/>
        <v>259922.1522967245</v>
      </c>
      <c r="I941" s="552">
        <f t="shared" si="58"/>
        <v>0</v>
      </c>
      <c r="J941" s="552"/>
      <c r="K941" s="572"/>
      <c r="L941" s="556"/>
      <c r="M941" s="572"/>
      <c r="N941" s="556"/>
      <c r="O941" s="556"/>
    </row>
    <row r="942" spans="3:15">
      <c r="C942" s="548">
        <f>IF(D900="","-",+C941+1)</f>
        <v>2052</v>
      </c>
      <c r="D942" s="506">
        <f t="shared" si="54"/>
        <v>117047.61111111639</v>
      </c>
      <c r="E942" s="549">
        <f t="shared" si="59"/>
        <v>117047.61111111639</v>
      </c>
      <c r="F942" s="506">
        <f t="shared" si="55"/>
        <v>0</v>
      </c>
      <c r="G942" s="554">
        <f t="shared" si="56"/>
        <v>123504.34362974211</v>
      </c>
      <c r="H942" s="555">
        <f t="shared" si="57"/>
        <v>123504.34362974211</v>
      </c>
      <c r="I942" s="552">
        <f t="shared" si="58"/>
        <v>0</v>
      </c>
      <c r="J942" s="552"/>
      <c r="K942" s="572"/>
      <c r="L942" s="556"/>
      <c r="M942" s="572"/>
      <c r="N942" s="556"/>
      <c r="O942" s="556"/>
    </row>
    <row r="943" spans="3:15">
      <c r="C943" s="548">
        <f>IF(D900="","-",+C942+1)</f>
        <v>2053</v>
      </c>
      <c r="D943" s="506">
        <f t="shared" si="54"/>
        <v>0</v>
      </c>
      <c r="E943" s="549">
        <f t="shared" si="59"/>
        <v>0</v>
      </c>
      <c r="F943" s="506">
        <f t="shared" si="55"/>
        <v>0</v>
      </c>
      <c r="G943" s="554">
        <f t="shared" si="56"/>
        <v>0</v>
      </c>
      <c r="H943" s="555">
        <f t="shared" si="57"/>
        <v>0</v>
      </c>
      <c r="I943" s="552">
        <f t="shared" si="58"/>
        <v>0</v>
      </c>
      <c r="J943" s="552"/>
      <c r="K943" s="572"/>
      <c r="L943" s="556"/>
      <c r="M943" s="572"/>
      <c r="N943" s="556"/>
      <c r="O943" s="556"/>
    </row>
    <row r="944" spans="3:15">
      <c r="C944" s="548">
        <f>IF(D900="","-",+C943+1)</f>
        <v>2054</v>
      </c>
      <c r="D944" s="506">
        <f t="shared" si="54"/>
        <v>0</v>
      </c>
      <c r="E944" s="549">
        <f t="shared" si="59"/>
        <v>0</v>
      </c>
      <c r="F944" s="506">
        <f t="shared" si="55"/>
        <v>0</v>
      </c>
      <c r="G944" s="554">
        <f t="shared" si="56"/>
        <v>0</v>
      </c>
      <c r="H944" s="555">
        <f t="shared" si="57"/>
        <v>0</v>
      </c>
      <c r="I944" s="552">
        <f t="shared" si="58"/>
        <v>0</v>
      </c>
      <c r="J944" s="552"/>
      <c r="K944" s="572"/>
      <c r="L944" s="556"/>
      <c r="M944" s="572"/>
      <c r="N944" s="556"/>
      <c r="O944" s="556"/>
    </row>
    <row r="945" spans="3:15">
      <c r="C945" s="548">
        <f>IF(D900="","-",+C944+1)</f>
        <v>2055</v>
      </c>
      <c r="D945" s="506">
        <f t="shared" si="54"/>
        <v>0</v>
      </c>
      <c r="E945" s="549">
        <f t="shared" si="59"/>
        <v>0</v>
      </c>
      <c r="F945" s="506">
        <f t="shared" si="55"/>
        <v>0</v>
      </c>
      <c r="G945" s="554">
        <f t="shared" si="56"/>
        <v>0</v>
      </c>
      <c r="H945" s="555">
        <f t="shared" si="57"/>
        <v>0</v>
      </c>
      <c r="I945" s="552">
        <f t="shared" si="58"/>
        <v>0</v>
      </c>
      <c r="J945" s="552"/>
      <c r="K945" s="572"/>
      <c r="L945" s="556"/>
      <c r="M945" s="572"/>
      <c r="N945" s="556"/>
      <c r="O945" s="556"/>
    </row>
    <row r="946" spans="3:15">
      <c r="C946" s="548">
        <f>IF(D900="","-",+C945+1)</f>
        <v>2056</v>
      </c>
      <c r="D946" s="506">
        <f t="shared" si="54"/>
        <v>0</v>
      </c>
      <c r="E946" s="549">
        <f t="shared" si="59"/>
        <v>0</v>
      </c>
      <c r="F946" s="506">
        <f t="shared" si="55"/>
        <v>0</v>
      </c>
      <c r="G946" s="554">
        <f t="shared" si="56"/>
        <v>0</v>
      </c>
      <c r="H946" s="555">
        <f t="shared" si="57"/>
        <v>0</v>
      </c>
      <c r="I946" s="552">
        <f t="shared" si="58"/>
        <v>0</v>
      </c>
      <c r="J946" s="552"/>
      <c r="K946" s="572"/>
      <c r="L946" s="556"/>
      <c r="M946" s="572"/>
      <c r="N946" s="556"/>
      <c r="O946" s="556"/>
    </row>
    <row r="947" spans="3:15">
      <c r="C947" s="548">
        <f>IF(D900="","-",+C946+1)</f>
        <v>2057</v>
      </c>
      <c r="D947" s="506">
        <f t="shared" si="54"/>
        <v>0</v>
      </c>
      <c r="E947" s="549">
        <f t="shared" si="59"/>
        <v>0</v>
      </c>
      <c r="F947" s="506">
        <f t="shared" si="55"/>
        <v>0</v>
      </c>
      <c r="G947" s="554">
        <f t="shared" si="56"/>
        <v>0</v>
      </c>
      <c r="H947" s="555">
        <f t="shared" si="57"/>
        <v>0</v>
      </c>
      <c r="I947" s="552">
        <f t="shared" si="58"/>
        <v>0</v>
      </c>
      <c r="J947" s="552"/>
      <c r="K947" s="572"/>
      <c r="L947" s="556"/>
      <c r="M947" s="572"/>
      <c r="N947" s="556"/>
      <c r="O947" s="556"/>
    </row>
    <row r="948" spans="3:15">
      <c r="C948" s="548">
        <f>IF(D900="","-",+C947+1)</f>
        <v>2058</v>
      </c>
      <c r="D948" s="506">
        <f t="shared" si="54"/>
        <v>0</v>
      </c>
      <c r="E948" s="549">
        <f t="shared" si="59"/>
        <v>0</v>
      </c>
      <c r="F948" s="506">
        <f t="shared" si="55"/>
        <v>0</v>
      </c>
      <c r="G948" s="554">
        <f t="shared" si="56"/>
        <v>0</v>
      </c>
      <c r="H948" s="555">
        <f t="shared" si="57"/>
        <v>0</v>
      </c>
      <c r="I948" s="552">
        <f t="shared" si="58"/>
        <v>0</v>
      </c>
      <c r="J948" s="552"/>
      <c r="K948" s="572"/>
      <c r="L948" s="556"/>
      <c r="M948" s="572"/>
      <c r="N948" s="556"/>
      <c r="O948" s="556"/>
    </row>
    <row r="949" spans="3:15">
      <c r="C949" s="548">
        <f>IF(D900="","-",+C948+1)</f>
        <v>2059</v>
      </c>
      <c r="D949" s="506">
        <f t="shared" si="54"/>
        <v>0</v>
      </c>
      <c r="E949" s="549">
        <f t="shared" si="59"/>
        <v>0</v>
      </c>
      <c r="F949" s="506">
        <f t="shared" si="55"/>
        <v>0</v>
      </c>
      <c r="G949" s="554">
        <f t="shared" si="56"/>
        <v>0</v>
      </c>
      <c r="H949" s="555">
        <f t="shared" si="57"/>
        <v>0</v>
      </c>
      <c r="I949" s="552">
        <f t="shared" si="58"/>
        <v>0</v>
      </c>
      <c r="J949" s="552"/>
      <c r="K949" s="572"/>
      <c r="L949" s="556"/>
      <c r="M949" s="572"/>
      <c r="N949" s="556"/>
      <c r="O949" s="556"/>
    </row>
    <row r="950" spans="3:15">
      <c r="C950" s="548">
        <f>IF(D900="","-",+C949+1)</f>
        <v>2060</v>
      </c>
      <c r="D950" s="506">
        <f t="shared" si="54"/>
        <v>0</v>
      </c>
      <c r="E950" s="549">
        <f t="shared" si="59"/>
        <v>0</v>
      </c>
      <c r="F950" s="506">
        <f t="shared" si="55"/>
        <v>0</v>
      </c>
      <c r="G950" s="554">
        <f t="shared" si="56"/>
        <v>0</v>
      </c>
      <c r="H950" s="555">
        <f t="shared" si="57"/>
        <v>0</v>
      </c>
      <c r="I950" s="552">
        <f t="shared" si="58"/>
        <v>0</v>
      </c>
      <c r="J950" s="552"/>
      <c r="K950" s="572"/>
      <c r="L950" s="556"/>
      <c r="M950" s="572"/>
      <c r="N950" s="556"/>
      <c r="O950" s="556"/>
    </row>
    <row r="951" spans="3:15">
      <c r="C951" s="548">
        <f>IF(D900="","-",+C950+1)</f>
        <v>2061</v>
      </c>
      <c r="D951" s="506">
        <f t="shared" si="54"/>
        <v>0</v>
      </c>
      <c r="E951" s="549">
        <f t="shared" si="59"/>
        <v>0</v>
      </c>
      <c r="F951" s="506">
        <f t="shared" si="55"/>
        <v>0</v>
      </c>
      <c r="G951" s="554">
        <f t="shared" si="56"/>
        <v>0</v>
      </c>
      <c r="H951" s="555">
        <f t="shared" si="57"/>
        <v>0</v>
      </c>
      <c r="I951" s="552">
        <f t="shared" si="58"/>
        <v>0</v>
      </c>
      <c r="J951" s="552"/>
      <c r="K951" s="572"/>
      <c r="L951" s="556"/>
      <c r="M951" s="572"/>
      <c r="N951" s="556"/>
      <c r="O951" s="556"/>
    </row>
    <row r="952" spans="3:15">
      <c r="C952" s="548">
        <f>IF(D900="","-",+C951+1)</f>
        <v>2062</v>
      </c>
      <c r="D952" s="506">
        <f t="shared" si="54"/>
        <v>0</v>
      </c>
      <c r="E952" s="549">
        <f t="shared" si="59"/>
        <v>0</v>
      </c>
      <c r="F952" s="506">
        <f t="shared" si="55"/>
        <v>0</v>
      </c>
      <c r="G952" s="554">
        <f t="shared" si="56"/>
        <v>0</v>
      </c>
      <c r="H952" s="555">
        <f t="shared" si="57"/>
        <v>0</v>
      </c>
      <c r="I952" s="552">
        <f t="shared" si="58"/>
        <v>0</v>
      </c>
      <c r="J952" s="552"/>
      <c r="K952" s="572"/>
      <c r="L952" s="556"/>
      <c r="M952" s="572"/>
      <c r="N952" s="556"/>
      <c r="O952" s="556"/>
    </row>
    <row r="953" spans="3:15">
      <c r="C953" s="548">
        <f>IF(D900="","-",+C952+1)</f>
        <v>2063</v>
      </c>
      <c r="D953" s="506">
        <f t="shared" si="54"/>
        <v>0</v>
      </c>
      <c r="E953" s="549">
        <f t="shared" si="59"/>
        <v>0</v>
      </c>
      <c r="F953" s="506">
        <f t="shared" si="55"/>
        <v>0</v>
      </c>
      <c r="G953" s="554">
        <f t="shared" si="56"/>
        <v>0</v>
      </c>
      <c r="H953" s="555">
        <f t="shared" si="57"/>
        <v>0</v>
      </c>
      <c r="I953" s="552">
        <f t="shared" si="58"/>
        <v>0</v>
      </c>
      <c r="J953" s="552"/>
      <c r="K953" s="572"/>
      <c r="L953" s="556"/>
      <c r="M953" s="572"/>
      <c r="N953" s="556"/>
      <c r="O953" s="556"/>
    </row>
    <row r="954" spans="3:15">
      <c r="C954" s="548">
        <f>IF(D900="","-",+C953+1)</f>
        <v>2064</v>
      </c>
      <c r="D954" s="506">
        <f t="shared" si="54"/>
        <v>0</v>
      </c>
      <c r="E954" s="549">
        <f t="shared" si="59"/>
        <v>0</v>
      </c>
      <c r="F954" s="506">
        <f t="shared" si="55"/>
        <v>0</v>
      </c>
      <c r="G954" s="554">
        <f t="shared" si="56"/>
        <v>0</v>
      </c>
      <c r="H954" s="555">
        <f t="shared" si="57"/>
        <v>0</v>
      </c>
      <c r="I954" s="552">
        <f t="shared" si="58"/>
        <v>0</v>
      </c>
      <c r="J954" s="552"/>
      <c r="K954" s="572"/>
      <c r="L954" s="556"/>
      <c r="M954" s="572"/>
      <c r="N954" s="556"/>
      <c r="O954" s="556"/>
    </row>
    <row r="955" spans="3:15">
      <c r="C955" s="548">
        <f>IF(D900="","-",+C954+1)</f>
        <v>2065</v>
      </c>
      <c r="D955" s="506">
        <f t="shared" si="54"/>
        <v>0</v>
      </c>
      <c r="E955" s="549">
        <f t="shared" si="59"/>
        <v>0</v>
      </c>
      <c r="F955" s="506">
        <f t="shared" si="55"/>
        <v>0</v>
      </c>
      <c r="G955" s="554">
        <f t="shared" si="56"/>
        <v>0</v>
      </c>
      <c r="H955" s="555">
        <f t="shared" si="57"/>
        <v>0</v>
      </c>
      <c r="I955" s="552">
        <f t="shared" si="58"/>
        <v>0</v>
      </c>
      <c r="J955" s="552"/>
      <c r="K955" s="572"/>
      <c r="L955" s="556"/>
      <c r="M955" s="572"/>
      <c r="N955" s="556"/>
      <c r="O955" s="556"/>
    </row>
    <row r="956" spans="3:15">
      <c r="C956" s="548">
        <f>IF(D900="","-",+C955+1)</f>
        <v>2066</v>
      </c>
      <c r="D956" s="506">
        <f t="shared" si="54"/>
        <v>0</v>
      </c>
      <c r="E956" s="549">
        <f t="shared" si="59"/>
        <v>0</v>
      </c>
      <c r="F956" s="506">
        <f t="shared" si="55"/>
        <v>0</v>
      </c>
      <c r="G956" s="554">
        <f t="shared" si="56"/>
        <v>0</v>
      </c>
      <c r="H956" s="555">
        <f t="shared" si="57"/>
        <v>0</v>
      </c>
      <c r="I956" s="552">
        <f t="shared" si="58"/>
        <v>0</v>
      </c>
      <c r="J956" s="552"/>
      <c r="K956" s="572"/>
      <c r="L956" s="556"/>
      <c r="M956" s="572"/>
      <c r="N956" s="556"/>
      <c r="O956" s="556"/>
    </row>
    <row r="957" spans="3:15">
      <c r="C957" s="548">
        <f>IF(D900="","-",+C956+1)</f>
        <v>2067</v>
      </c>
      <c r="D957" s="506">
        <f t="shared" si="54"/>
        <v>0</v>
      </c>
      <c r="E957" s="549">
        <f t="shared" si="59"/>
        <v>0</v>
      </c>
      <c r="F957" s="506">
        <f t="shared" si="55"/>
        <v>0</v>
      </c>
      <c r="G957" s="554">
        <f t="shared" si="56"/>
        <v>0</v>
      </c>
      <c r="H957" s="555">
        <f t="shared" si="57"/>
        <v>0</v>
      </c>
      <c r="I957" s="552">
        <f t="shared" si="58"/>
        <v>0</v>
      </c>
      <c r="J957" s="552"/>
      <c r="K957" s="572"/>
      <c r="L957" s="556"/>
      <c r="M957" s="572"/>
      <c r="N957" s="556"/>
      <c r="O957" s="556"/>
    </row>
    <row r="958" spans="3:15">
      <c r="C958" s="548">
        <f>IF(D900="","-",+C957+1)</f>
        <v>2068</v>
      </c>
      <c r="D958" s="506">
        <f t="shared" si="54"/>
        <v>0</v>
      </c>
      <c r="E958" s="549">
        <f t="shared" si="59"/>
        <v>0</v>
      </c>
      <c r="F958" s="506">
        <f t="shared" si="55"/>
        <v>0</v>
      </c>
      <c r="G958" s="554">
        <f t="shared" si="56"/>
        <v>0</v>
      </c>
      <c r="H958" s="555">
        <f t="shared" si="57"/>
        <v>0</v>
      </c>
      <c r="I958" s="552">
        <f t="shared" si="58"/>
        <v>0</v>
      </c>
      <c r="J958" s="552"/>
      <c r="K958" s="572"/>
      <c r="L958" s="556"/>
      <c r="M958" s="572"/>
      <c r="N958" s="556"/>
      <c r="O958" s="556"/>
    </row>
    <row r="959" spans="3:15">
      <c r="C959" s="548">
        <f>IF(D900="","-",+C958+1)</f>
        <v>2069</v>
      </c>
      <c r="D959" s="506">
        <f t="shared" si="54"/>
        <v>0</v>
      </c>
      <c r="E959" s="549">
        <f t="shared" si="59"/>
        <v>0</v>
      </c>
      <c r="F959" s="506">
        <f t="shared" si="55"/>
        <v>0</v>
      </c>
      <c r="G959" s="554">
        <f t="shared" si="56"/>
        <v>0</v>
      </c>
      <c r="H959" s="555">
        <f t="shared" si="57"/>
        <v>0</v>
      </c>
      <c r="I959" s="552">
        <f t="shared" si="58"/>
        <v>0</v>
      </c>
      <c r="J959" s="552"/>
      <c r="K959" s="572"/>
      <c r="L959" s="556"/>
      <c r="M959" s="572"/>
      <c r="N959" s="556"/>
      <c r="O959" s="556"/>
    </row>
    <row r="960" spans="3:15">
      <c r="C960" s="548">
        <f>IF(D900="","-",+C959+1)</f>
        <v>2070</v>
      </c>
      <c r="D960" s="506">
        <f t="shared" si="54"/>
        <v>0</v>
      </c>
      <c r="E960" s="549">
        <f t="shared" si="59"/>
        <v>0</v>
      </c>
      <c r="F960" s="506">
        <f t="shared" si="55"/>
        <v>0</v>
      </c>
      <c r="G960" s="554">
        <f t="shared" si="56"/>
        <v>0</v>
      </c>
      <c r="H960" s="555">
        <f t="shared" si="57"/>
        <v>0</v>
      </c>
      <c r="I960" s="552">
        <f t="shared" si="58"/>
        <v>0</v>
      </c>
      <c r="J960" s="552"/>
      <c r="K960" s="572"/>
      <c r="L960" s="556"/>
      <c r="M960" s="572"/>
      <c r="N960" s="556"/>
      <c r="O960" s="556"/>
    </row>
    <row r="961" spans="3:15">
      <c r="C961" s="548">
        <f>IF(D900="","-",+C960+1)</f>
        <v>2071</v>
      </c>
      <c r="D961" s="506">
        <f t="shared" si="54"/>
        <v>0</v>
      </c>
      <c r="E961" s="549">
        <f t="shared" si="59"/>
        <v>0</v>
      </c>
      <c r="F961" s="506">
        <f t="shared" si="55"/>
        <v>0</v>
      </c>
      <c r="G961" s="554">
        <f t="shared" si="56"/>
        <v>0</v>
      </c>
      <c r="H961" s="555">
        <f t="shared" si="57"/>
        <v>0</v>
      </c>
      <c r="I961" s="552">
        <f t="shared" si="58"/>
        <v>0</v>
      </c>
      <c r="J961" s="552"/>
      <c r="K961" s="572"/>
      <c r="L961" s="556"/>
      <c r="M961" s="572"/>
      <c r="N961" s="556"/>
      <c r="O961" s="556"/>
    </row>
    <row r="962" spans="3:15">
      <c r="C962" s="548">
        <f>IF(D900="","-",+C961+1)</f>
        <v>2072</v>
      </c>
      <c r="D962" s="506">
        <f t="shared" si="54"/>
        <v>0</v>
      </c>
      <c r="E962" s="549">
        <f t="shared" si="59"/>
        <v>0</v>
      </c>
      <c r="F962" s="506">
        <f t="shared" si="55"/>
        <v>0</v>
      </c>
      <c r="G962" s="554">
        <f t="shared" si="56"/>
        <v>0</v>
      </c>
      <c r="H962" s="555">
        <f t="shared" si="57"/>
        <v>0</v>
      </c>
      <c r="I962" s="552">
        <f t="shared" si="58"/>
        <v>0</v>
      </c>
      <c r="J962" s="552"/>
      <c r="K962" s="572"/>
      <c r="L962" s="556"/>
      <c r="M962" s="572"/>
      <c r="N962" s="556"/>
      <c r="O962" s="556"/>
    </row>
    <row r="963" spans="3:15">
      <c r="C963" s="548">
        <f>IF(D900="","-",+C962+1)</f>
        <v>2073</v>
      </c>
      <c r="D963" s="506">
        <f t="shared" si="54"/>
        <v>0</v>
      </c>
      <c r="E963" s="549">
        <f t="shared" si="59"/>
        <v>0</v>
      </c>
      <c r="F963" s="506">
        <f t="shared" si="55"/>
        <v>0</v>
      </c>
      <c r="G963" s="554">
        <f t="shared" si="56"/>
        <v>0</v>
      </c>
      <c r="H963" s="555">
        <f t="shared" si="57"/>
        <v>0</v>
      </c>
      <c r="I963" s="552">
        <f t="shared" si="58"/>
        <v>0</v>
      </c>
      <c r="J963" s="552"/>
      <c r="K963" s="572"/>
      <c r="L963" s="556"/>
      <c r="M963" s="572"/>
      <c r="N963" s="556"/>
      <c r="O963" s="556"/>
    </row>
    <row r="964" spans="3:15">
      <c r="C964" s="548">
        <f>IF(D900="","-",+C963+1)</f>
        <v>2074</v>
      </c>
      <c r="D964" s="506">
        <f t="shared" si="54"/>
        <v>0</v>
      </c>
      <c r="E964" s="549">
        <f t="shared" si="59"/>
        <v>0</v>
      </c>
      <c r="F964" s="506">
        <f t="shared" si="55"/>
        <v>0</v>
      </c>
      <c r="G964" s="554">
        <f t="shared" si="56"/>
        <v>0</v>
      </c>
      <c r="H964" s="555">
        <f t="shared" si="57"/>
        <v>0</v>
      </c>
      <c r="I964" s="552">
        <f t="shared" si="58"/>
        <v>0</v>
      </c>
      <c r="J964" s="552"/>
      <c r="K964" s="572"/>
      <c r="L964" s="556"/>
      <c r="M964" s="572"/>
      <c r="N964" s="556"/>
      <c r="O964" s="556"/>
    </row>
    <row r="965" spans="3:15" ht="13.5" thickBot="1">
      <c r="C965" s="558">
        <f>IF(D900="","-",+C964+1)</f>
        <v>2075</v>
      </c>
      <c r="D965" s="559">
        <f t="shared" si="54"/>
        <v>0</v>
      </c>
      <c r="E965" s="560">
        <f t="shared" si="59"/>
        <v>0</v>
      </c>
      <c r="F965" s="559">
        <f t="shared" si="55"/>
        <v>0</v>
      </c>
      <c r="G965" s="561">
        <f t="shared" si="56"/>
        <v>0</v>
      </c>
      <c r="H965" s="561">
        <f t="shared" si="57"/>
        <v>0</v>
      </c>
      <c r="I965" s="562">
        <f t="shared" si="58"/>
        <v>0</v>
      </c>
      <c r="J965" s="552"/>
      <c r="K965" s="573"/>
      <c r="L965" s="563"/>
      <c r="M965" s="573"/>
      <c r="N965" s="563"/>
      <c r="O965" s="563"/>
    </row>
    <row r="966" spans="3:15">
      <c r="C966" s="506" t="s">
        <v>91</v>
      </c>
      <c r="D966" s="503"/>
      <c r="E966" s="503">
        <f>SUM(E906:E965)</f>
        <v>8427428</v>
      </c>
      <c r="F966" s="503"/>
      <c r="G966" s="503">
        <f>SUM(G906:G965)</f>
        <v>25628163.42961815</v>
      </c>
      <c r="H966" s="503">
        <f>SUM(H906:H965)</f>
        <v>25628163.42961815</v>
      </c>
      <c r="I966" s="503">
        <f>SUM(I906:I965)</f>
        <v>0</v>
      </c>
      <c r="J966" s="503"/>
      <c r="K966" s="503"/>
      <c r="L966" s="503"/>
      <c r="M966" s="503"/>
      <c r="N966" s="503"/>
      <c r="O966" s="3"/>
    </row>
    <row r="967" spans="3:15">
      <c r="D967" s="47"/>
      <c r="E967" s="3"/>
      <c r="F967" s="3"/>
      <c r="G967" s="3"/>
      <c r="H967" s="490"/>
      <c r="I967" s="490"/>
      <c r="J967" s="503"/>
      <c r="K967" s="490"/>
      <c r="L967" s="490"/>
      <c r="M967" s="490"/>
      <c r="N967" s="490"/>
      <c r="O967" s="3"/>
    </row>
    <row r="968" spans="3:15">
      <c r="C968" s="3" t="s">
        <v>13</v>
      </c>
      <c r="D968" s="47"/>
      <c r="E968" s="3"/>
      <c r="F968" s="3"/>
      <c r="G968" s="3"/>
      <c r="H968" s="490"/>
      <c r="I968" s="490"/>
      <c r="J968" s="503"/>
      <c r="K968" s="490"/>
      <c r="L968" s="490"/>
      <c r="M968" s="490"/>
      <c r="N968" s="490"/>
      <c r="O968" s="3"/>
    </row>
    <row r="969" spans="3:15">
      <c r="C969" s="3"/>
      <c r="D969" s="47"/>
      <c r="E969" s="3"/>
      <c r="F969" s="3"/>
      <c r="G969" s="3"/>
      <c r="H969" s="490"/>
      <c r="I969" s="490"/>
      <c r="J969" s="503"/>
      <c r="K969" s="490"/>
      <c r="L969" s="490"/>
      <c r="M969" s="490"/>
      <c r="N969" s="490"/>
      <c r="O969" s="3"/>
    </row>
    <row r="970" spans="3:15">
      <c r="C970" s="518" t="s">
        <v>14</v>
      </c>
      <c r="D970" s="506"/>
      <c r="E970" s="506"/>
      <c r="F970" s="506"/>
      <c r="G970" s="503"/>
      <c r="H970" s="503"/>
      <c r="I970" s="564"/>
      <c r="J970" s="564"/>
      <c r="K970" s="564"/>
      <c r="L970" s="564"/>
      <c r="M970" s="564"/>
      <c r="N970" s="564"/>
      <c r="O970" s="3"/>
    </row>
    <row r="971" spans="3:15">
      <c r="C971" s="507" t="s">
        <v>271</v>
      </c>
      <c r="D971" s="506"/>
      <c r="E971" s="506"/>
      <c r="F971" s="506"/>
      <c r="G971" s="503"/>
      <c r="H971" s="503"/>
      <c r="I971" s="564"/>
      <c r="J971" s="564"/>
      <c r="K971" s="564"/>
      <c r="L971" s="564"/>
      <c r="M971" s="564"/>
      <c r="N971" s="564"/>
      <c r="O971" s="3"/>
    </row>
    <row r="972" spans="3:15">
      <c r="C972" s="507" t="s">
        <v>92</v>
      </c>
      <c r="D972" s="506"/>
      <c r="E972" s="506"/>
      <c r="F972" s="506"/>
      <c r="G972" s="503"/>
      <c r="H972" s="503"/>
      <c r="I972" s="564"/>
      <c r="J972" s="564"/>
      <c r="K972" s="564"/>
      <c r="L972" s="564"/>
      <c r="M972" s="564"/>
      <c r="N972" s="564"/>
      <c r="O972" s="3"/>
    </row>
    <row r="973" spans="3:15">
      <c r="C973" s="507"/>
      <c r="D973" s="506"/>
      <c r="E973" s="506"/>
      <c r="F973" s="506"/>
      <c r="G973" s="503"/>
      <c r="H973" s="503"/>
      <c r="I973" s="564"/>
      <c r="J973" s="564"/>
      <c r="K973" s="564"/>
      <c r="L973" s="564"/>
      <c r="M973" s="564"/>
      <c r="N973" s="564"/>
      <c r="O973" s="3"/>
    </row>
    <row r="974" spans="3:15">
      <c r="C974" s="1209" t="s">
        <v>6</v>
      </c>
      <c r="D974" s="1209"/>
      <c r="E974" s="1209"/>
      <c r="F974" s="1209"/>
      <c r="G974" s="1209"/>
      <c r="H974" s="1209"/>
      <c r="I974" s="1209"/>
      <c r="J974" s="1209"/>
      <c r="K974" s="1209"/>
      <c r="L974" s="1209"/>
      <c r="M974" s="1209"/>
      <c r="N974" s="1209"/>
      <c r="O974" s="1209"/>
    </row>
    <row r="975" spans="3:15">
      <c r="C975" s="1209"/>
      <c r="D975" s="1209"/>
      <c r="E975" s="1209"/>
      <c r="F975" s="1209"/>
      <c r="G975" s="1209"/>
      <c r="H975" s="1209"/>
      <c r="I975" s="1209"/>
      <c r="J975" s="1209"/>
      <c r="K975" s="1209"/>
      <c r="L975" s="1209"/>
      <c r="M975" s="1209"/>
      <c r="N975" s="1209"/>
      <c r="O975" s="1209"/>
    </row>
  </sheetData>
  <mergeCells count="36">
    <mergeCell ref="D895:I896"/>
    <mergeCell ref="K899:O899"/>
    <mergeCell ref="C974:O975"/>
    <mergeCell ref="C883:O884"/>
    <mergeCell ref="D715:I716"/>
    <mergeCell ref="K719:O719"/>
    <mergeCell ref="C794:O795"/>
    <mergeCell ref="D804:I805"/>
    <mergeCell ref="K808:O808"/>
    <mergeCell ref="D537:I538"/>
    <mergeCell ref="K541:O541"/>
    <mergeCell ref="C616:O617"/>
    <mergeCell ref="D626:I627"/>
    <mergeCell ref="K630:O630"/>
    <mergeCell ref="C705:O706"/>
    <mergeCell ref="C169:O170"/>
    <mergeCell ref="K94:O94"/>
    <mergeCell ref="A3:O3"/>
    <mergeCell ref="C11:H12"/>
    <mergeCell ref="A4:O4"/>
    <mergeCell ref="A5:O5"/>
    <mergeCell ref="A6:O6"/>
    <mergeCell ref="I77:O80"/>
    <mergeCell ref="K22:O23"/>
    <mergeCell ref="K184:O184"/>
    <mergeCell ref="C259:O260"/>
    <mergeCell ref="D180:I181"/>
    <mergeCell ref="D269:I270"/>
    <mergeCell ref="K273:O273"/>
    <mergeCell ref="C348:O349"/>
    <mergeCell ref="C527:O528"/>
    <mergeCell ref="D358:I359"/>
    <mergeCell ref="K362:O362"/>
    <mergeCell ref="C437:O438"/>
    <mergeCell ref="D448:I449"/>
    <mergeCell ref="K452:O452"/>
  </mergeCells>
  <phoneticPr fontId="0" type="noConversion"/>
  <conditionalFormatting sqref="C101:C160">
    <cfRule type="cellIs" dxfId="26" priority="20" stopIfTrue="1" operator="equal">
      <formula>$I$92</formula>
    </cfRule>
  </conditionalFormatting>
  <conditionalFormatting sqref="C191:C250">
    <cfRule type="cellIs" dxfId="25" priority="9" stopIfTrue="1" operator="equal">
      <formula>$I$92</formula>
    </cfRule>
  </conditionalFormatting>
  <conditionalFormatting sqref="C280:C339">
    <cfRule type="cellIs" dxfId="24" priority="8" stopIfTrue="1" operator="equal">
      <formula>$I$92</formula>
    </cfRule>
  </conditionalFormatting>
  <conditionalFormatting sqref="C369:C428">
    <cfRule type="cellIs" dxfId="23" priority="7" stopIfTrue="1" operator="equal">
      <formula>$I$92</formula>
    </cfRule>
  </conditionalFormatting>
  <conditionalFormatting sqref="C459:C518">
    <cfRule type="cellIs" dxfId="22" priority="6" stopIfTrue="1" operator="equal">
      <formula>$I$92</formula>
    </cfRule>
  </conditionalFormatting>
  <conditionalFormatting sqref="C548:C607">
    <cfRule type="cellIs" dxfId="21" priority="5" stopIfTrue="1" operator="equal">
      <formula>$I$92</formula>
    </cfRule>
  </conditionalFormatting>
  <conditionalFormatting sqref="C637:C696">
    <cfRule type="cellIs" dxfId="20" priority="4" stopIfTrue="1" operator="equal">
      <formula>$I$92</formula>
    </cfRule>
  </conditionalFormatting>
  <conditionalFormatting sqref="C726:C785">
    <cfRule type="cellIs" dxfId="19" priority="3" stopIfTrue="1" operator="equal">
      <formula>$I$92</formula>
    </cfRule>
  </conditionalFormatting>
  <conditionalFormatting sqref="C815:C874">
    <cfRule type="cellIs" dxfId="18" priority="2" stopIfTrue="1" operator="equal">
      <formula>$I$92</formula>
    </cfRule>
  </conditionalFormatting>
  <conditionalFormatting sqref="C906:C965">
    <cfRule type="cellIs" dxfId="17" priority="1" stopIfTrue="1" operator="equal">
      <formula>$I$92</formula>
    </cfRule>
  </conditionalFormatting>
  <pageMargins left="0.25" right="0.25" top="1" bottom="1" header="0.75" footer="0.5"/>
  <pageSetup scale="38" orientation="landscape" r:id="rId1"/>
  <headerFooter alignWithMargins="0">
    <oddHeader>&amp;R&amp;"Arial,Bold"Formula Rate 
&amp;A
Page &amp;P of &amp;N</oddHeader>
  </headerFooter>
  <rowBreaks count="8" manualBreakCount="8">
    <brk id="80" max="14" man="1"/>
    <brk id="260" max="14" man="1"/>
    <brk id="349" max="14" man="1"/>
    <brk id="439" max="14" man="1"/>
    <brk id="528" max="14" man="1"/>
    <brk id="617" max="14" man="1"/>
    <brk id="706" max="14" man="1"/>
    <brk id="795" max="1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Q1204"/>
  <sheetViews>
    <sheetView tabSelected="1" view="pageBreakPreview" topLeftCell="A1109" zoomScale="70" zoomScaleNormal="70" zoomScaleSheetLayoutView="70" workbookViewId="0">
      <selection activeCell="O54" sqref="O54"/>
    </sheetView>
  </sheetViews>
  <sheetFormatPr defaultColWidth="8.85546875" defaultRowHeight="12.75"/>
  <cols>
    <col min="1" max="1" width="4.7109375" customWidth="1"/>
    <col min="2" max="2" width="6.7109375" customWidth="1"/>
    <col min="3" max="3" width="20.7109375" customWidth="1"/>
    <col min="4" max="4" width="22" style="1" customWidth="1"/>
    <col min="5" max="5" width="19.28515625" customWidth="1"/>
    <col min="6" max="8" width="17.7109375" customWidth="1"/>
    <col min="9" max="9" width="17.7109375" style="343" customWidth="1"/>
    <col min="10" max="10" width="17.7109375" bestFit="1" customWidth="1"/>
    <col min="11" max="11" width="2.140625" customWidth="1"/>
    <col min="12" max="12" width="17.7109375" style="3" customWidth="1"/>
    <col min="13" max="13" width="30.85546875" style="3" customWidth="1"/>
    <col min="14" max="14" width="17.7109375" style="3" customWidth="1"/>
    <col min="15" max="15" width="23.42578125" style="3" customWidth="1"/>
    <col min="16" max="16" width="16.7109375" style="3" customWidth="1"/>
  </cols>
  <sheetData>
    <row r="1" spans="1:16" ht="15.75">
      <c r="A1" s="738" t="s">
        <v>414</v>
      </c>
    </row>
    <row r="2" spans="1:16" ht="15.75">
      <c r="A2" s="738" t="s">
        <v>414</v>
      </c>
    </row>
    <row r="3" spans="1:16" ht="15">
      <c r="A3" s="1161" t="str">
        <f>TCOS!$F$5</f>
        <v>AEPTCo subsidiaries in PJM</v>
      </c>
      <c r="B3" s="1161" t="str">
        <f>TCOS!$F$5</f>
        <v>AEPTCo subsidiaries in PJM</v>
      </c>
      <c r="C3" s="1161" t="str">
        <f>TCOS!$F$5</f>
        <v>AEPTCo subsidiaries in PJM</v>
      </c>
      <c r="D3" s="1161" t="str">
        <f>TCOS!$F$5</f>
        <v>AEPTCo subsidiaries in PJM</v>
      </c>
      <c r="E3" s="1161" t="str">
        <f>TCOS!$F$5</f>
        <v>AEPTCo subsidiaries in PJM</v>
      </c>
      <c r="F3" s="1161" t="str">
        <f>TCOS!$F$5</f>
        <v>AEPTCo subsidiaries in PJM</v>
      </c>
      <c r="G3" s="1161" t="str">
        <f>TCOS!$F$5</f>
        <v>AEPTCo subsidiaries in PJM</v>
      </c>
      <c r="H3" s="1161" t="str">
        <f>TCOS!$F$5</f>
        <v>AEPTCo subsidiaries in PJM</v>
      </c>
      <c r="I3" s="1161" t="str">
        <f>TCOS!$F$5</f>
        <v>AEPTCo subsidiaries in PJM</v>
      </c>
      <c r="J3" s="1161" t="str">
        <f>TCOS!$F$5</f>
        <v>AEPTCo subsidiaries in PJM</v>
      </c>
      <c r="K3" s="1161" t="str">
        <f>TCOS!$F$5</f>
        <v>AEPTCo subsidiaries in PJM</v>
      </c>
      <c r="L3" s="1161" t="str">
        <f>TCOS!$F$5</f>
        <v>AEPTCo subsidiaries in PJM</v>
      </c>
      <c r="M3" s="1161" t="str">
        <f>TCOS!$F$5</f>
        <v>AEPTCo subsidiaries in PJM</v>
      </c>
      <c r="N3" s="1161" t="str">
        <f>TCOS!$F$5</f>
        <v>AEPTCo subsidiaries in PJM</v>
      </c>
      <c r="O3" s="1161" t="str">
        <f>TCOS!$F$5</f>
        <v>AEPTCo subsidiaries in PJM</v>
      </c>
      <c r="P3" s="1161" t="str">
        <f>TCOS!$F$5</f>
        <v>AEPTCo subsidiaries in PJM</v>
      </c>
    </row>
    <row r="4" spans="1:16" ht="15">
      <c r="A4" s="1162" t="str">
        <f>"Cost of Service Formula Rate Using Actual/Projected FF1 Balances"</f>
        <v>Cost of Service Formula Rate Using Actual/Projected FF1 Balances</v>
      </c>
      <c r="B4" s="1162"/>
      <c r="C4" s="1162"/>
      <c r="D4" s="1162"/>
      <c r="E4" s="1162"/>
      <c r="F4" s="1162"/>
      <c r="G4" s="1162"/>
      <c r="H4" s="1162"/>
      <c r="I4" s="1162"/>
      <c r="J4" s="1162"/>
      <c r="K4" s="1162"/>
      <c r="L4" s="1162"/>
      <c r="M4" s="1162"/>
      <c r="N4" s="1162"/>
      <c r="O4" s="1162"/>
      <c r="P4" s="1162"/>
    </row>
    <row r="5" spans="1:16" ht="15">
      <c r="A5" s="1162" t="s">
        <v>265</v>
      </c>
      <c r="B5" s="1162"/>
      <c r="C5" s="1162"/>
      <c r="D5" s="1162"/>
      <c r="E5" s="1162"/>
      <c r="F5" s="1162"/>
      <c r="G5" s="1162"/>
      <c r="H5" s="1162"/>
      <c r="I5" s="1162"/>
      <c r="J5" s="1162"/>
      <c r="K5" s="1162"/>
      <c r="L5" s="1162"/>
      <c r="M5" s="1162"/>
      <c r="N5" s="1162"/>
      <c r="O5" s="1162"/>
      <c r="P5" s="1162"/>
    </row>
    <row r="6" spans="1:16" ht="15">
      <c r="A6" s="1173" t="str">
        <f>TCOS!F9</f>
        <v>AEP Indiana Michigan Transmission Company</v>
      </c>
      <c r="B6" s="1173"/>
      <c r="C6" s="1173"/>
      <c r="D6" s="1173"/>
      <c r="E6" s="1173"/>
      <c r="F6" s="1173"/>
      <c r="G6" s="1173"/>
      <c r="H6" s="1173"/>
      <c r="I6" s="1173"/>
      <c r="J6" s="1173"/>
      <c r="K6" s="1173"/>
      <c r="L6" s="1173"/>
      <c r="M6" s="1173"/>
      <c r="N6" s="1173"/>
      <c r="O6" s="1173"/>
      <c r="P6" s="1173"/>
    </row>
    <row r="8" spans="1:16" ht="20.25">
      <c r="A8" s="447"/>
      <c r="O8" s="398" t="str">
        <f>"Page "&amp;Q8&amp;" of "</f>
        <v xml:space="preserve">Page  of </v>
      </c>
      <c r="P8" s="448">
        <f>COUNT(Q$8:Q$56657)</f>
        <v>10</v>
      </c>
    </row>
    <row r="9" spans="1:16" ht="18">
      <c r="C9" s="6"/>
    </row>
    <row r="11" spans="1:16" ht="17.100000000000001" customHeight="1">
      <c r="B11" s="449" t="s">
        <v>469</v>
      </c>
      <c r="C11" s="1212" t="str">
        <f>"Calculate Return and Income Taxes with "&amp;F17&amp;" basis point ROE increase for Projects Qualified for Regional Billing."</f>
        <v>Calculate Return and Income Taxes with 0 basis point ROE increase for Projects Qualified for Regional Billing.</v>
      </c>
      <c r="D11" s="1212"/>
      <c r="E11" s="1212"/>
      <c r="F11" s="1212"/>
      <c r="G11" s="1212"/>
      <c r="H11" s="1212"/>
      <c r="I11" s="1212"/>
    </row>
    <row r="12" spans="1:16" ht="18.75" customHeight="1">
      <c r="C12" s="1212"/>
      <c r="D12" s="1212"/>
      <c r="E12" s="1212"/>
      <c r="F12" s="1212"/>
      <c r="G12" s="1212"/>
      <c r="H12" s="1212"/>
      <c r="I12" s="1212"/>
    </row>
    <row r="13" spans="1:16" ht="15.75" customHeight="1">
      <c r="C13" s="450"/>
      <c r="D13" s="450"/>
      <c r="E13" s="450"/>
      <c r="F13" s="450"/>
      <c r="G13" s="450"/>
      <c r="H13" s="450"/>
      <c r="I13" s="450"/>
    </row>
    <row r="14" spans="1:16" ht="15.75">
      <c r="C14" s="451" t="str">
        <f>"A.   Determine 'R' with hypothetical "&amp;F17&amp;" basis point increase in ROE for Identified Projects"</f>
        <v>A.   Determine 'R' with hypothetical 0 basis point increase in ROE for Identified Projects</v>
      </c>
      <c r="D14" s="167"/>
    </row>
    <row r="15" spans="1:16">
      <c r="C15" s="41"/>
      <c r="D15" s="167"/>
    </row>
    <row r="16" spans="1:16">
      <c r="C16" s="452" t="str">
        <f>"   ROE w/o incentives  (TCOS, ln "&amp;TCOS!B251&amp;")"</f>
        <v xml:space="preserve">   ROE w/o incentives  (TCOS, ln 138)</v>
      </c>
      <c r="D16" s="167"/>
      <c r="E16" s="453"/>
      <c r="F16" s="574">
        <f>TCOS!J251</f>
        <v>0.10349999999999999</v>
      </c>
      <c r="G16" s="574"/>
      <c r="H16" s="453"/>
      <c r="I16" s="455"/>
      <c r="J16" s="455"/>
      <c r="K16" s="455"/>
      <c r="L16" s="455"/>
      <c r="M16" s="455"/>
      <c r="N16" s="455"/>
      <c r="O16" s="455"/>
      <c r="P16" s="455"/>
    </row>
    <row r="17" spans="3:16" ht="13.5" thickBot="1">
      <c r="C17" s="452" t="s">
        <v>50</v>
      </c>
      <c r="D17" s="167"/>
      <c r="E17" s="453"/>
      <c r="F17" s="565">
        <v>0</v>
      </c>
      <c r="G17" s="453"/>
      <c r="H17" s="453"/>
      <c r="I17" s="455"/>
      <c r="J17" s="455"/>
      <c r="K17" s="455"/>
      <c r="L17" s="455"/>
      <c r="M17" s="455"/>
      <c r="N17" s="455"/>
      <c r="O17" s="455"/>
      <c r="P17" s="455"/>
    </row>
    <row r="18" spans="3:16">
      <c r="C18" s="452" t="str">
        <f>"   ROE with additional "&amp;F17&amp;" basis point incentive"</f>
        <v xml:space="preserve">   ROE with additional 0 basis point incentive</v>
      </c>
      <c r="D18" s="453"/>
      <c r="E18" s="453"/>
      <c r="F18" s="456">
        <f>IF((F16+(F17/10000)&gt;0.125),"ERROR",F16+(F17/10000))</f>
        <v>0.10349999999999999</v>
      </c>
      <c r="G18" s="457"/>
      <c r="H18" s="453"/>
      <c r="I18" s="455"/>
      <c r="J18" s="455"/>
      <c r="K18" s="455"/>
      <c r="L18" s="575" t="s">
        <v>242</v>
      </c>
      <c r="M18" s="576"/>
      <c r="N18" s="576"/>
      <c r="O18" s="576"/>
      <c r="P18" s="577"/>
    </row>
    <row r="19" spans="3:16">
      <c r="C19" s="452" t="str">
        <f>"   Determine R  ( cost of long term debt, cost of preferred stock and equity percentage is from the True-Up TCOS, lns "&amp;TCOS!B249&amp;" through "&amp;TCOS!B251&amp;")"</f>
        <v xml:space="preserve">   Determine R  ( cost of long term debt, cost of preferred stock and equity percentage is from the True-Up TCOS, lns 136 through 138)</v>
      </c>
      <c r="D19" s="167"/>
      <c r="E19" s="453"/>
      <c r="F19" s="458"/>
      <c r="G19" s="458"/>
      <c r="H19" s="453"/>
      <c r="I19" s="455"/>
      <c r="J19" s="455"/>
      <c r="K19" s="455"/>
      <c r="L19" s="578"/>
      <c r="M19" s="455"/>
      <c r="N19" s="455" t="s">
        <v>52</v>
      </c>
      <c r="O19" s="455" t="s">
        <v>53</v>
      </c>
      <c r="P19" s="579" t="s">
        <v>55</v>
      </c>
    </row>
    <row r="20" spans="3:16">
      <c r="C20" s="455"/>
      <c r="D20" s="459" t="s">
        <v>444</v>
      </c>
      <c r="E20" s="459" t="s">
        <v>443</v>
      </c>
      <c r="F20" s="460" t="s">
        <v>51</v>
      </c>
      <c r="G20" s="460"/>
      <c r="H20" s="453"/>
      <c r="I20" s="455"/>
      <c r="J20" s="455"/>
      <c r="K20" s="455"/>
      <c r="L20" s="578" t="s">
        <v>240</v>
      </c>
      <c r="M20" s="580">
        <f>TCOS!L4</f>
        <v>2025</v>
      </c>
      <c r="P20" s="581"/>
    </row>
    <row r="21" spans="3:16">
      <c r="C21" s="461" t="s">
        <v>56</v>
      </c>
      <c r="D21" s="582">
        <f>TCOS!H249</f>
        <v>0.44659798796979427</v>
      </c>
      <c r="E21" s="462">
        <f>TCOS!J249</f>
        <v>4.1148075266080018E-2</v>
      </c>
      <c r="F21" s="463">
        <f>E21*D21</f>
        <v>1.8376647622660995E-2</v>
      </c>
      <c r="G21" s="463"/>
      <c r="H21" s="453"/>
      <c r="I21" s="455"/>
      <c r="J21" s="464"/>
      <c r="K21" s="464"/>
      <c r="L21" s="528"/>
      <c r="M21" s="47" t="s">
        <v>241</v>
      </c>
      <c r="N21" s="695">
        <f>M88+M175+M262+M349+M436+M523+M610+M697+M784+M871+M958+M1042+M1126</f>
        <v>49191628.168834932</v>
      </c>
      <c r="O21" s="695">
        <f>N88+N175+N262+N349+N436+N523+N610+N697+N784+N871+N958+N1042+N1126</f>
        <v>49191628.168834932</v>
      </c>
      <c r="P21" s="583">
        <f>+O21-N21</f>
        <v>0</v>
      </c>
    </row>
    <row r="22" spans="3:16" ht="13.5" thickBot="1">
      <c r="C22" s="461" t="s">
        <v>57</v>
      </c>
      <c r="D22" s="582">
        <f>TCOS!H250</f>
        <v>0</v>
      </c>
      <c r="E22" s="462">
        <f>TCOS!J250</f>
        <v>0</v>
      </c>
      <c r="F22" s="463">
        <f>E22*D22</f>
        <v>0</v>
      </c>
      <c r="G22" s="463"/>
      <c r="H22" s="465"/>
      <c r="I22" s="465"/>
      <c r="J22" s="466"/>
      <c r="K22" s="466"/>
      <c r="L22" s="528"/>
      <c r="M22" s="47" t="s">
        <v>620</v>
      </c>
      <c r="N22" s="1088">
        <f>M89+M176+M263+M350+M437+M524+M611+M698+M785+M872+M959+M1043+M1127</f>
        <v>47685791.512880437</v>
      </c>
      <c r="O22" s="1088">
        <f>N89+N176+N263+N350+N437+N524+N611+N698+N785+N872+N959+N1043+N1127</f>
        <v>47685791.512880437</v>
      </c>
      <c r="P22" s="584">
        <f>+O22-N22</f>
        <v>0</v>
      </c>
    </row>
    <row r="23" spans="3:16">
      <c r="C23" s="461" t="s">
        <v>29</v>
      </c>
      <c r="D23" s="582">
        <f>TCOS!H251</f>
        <v>0.55340201203020578</v>
      </c>
      <c r="E23" s="462">
        <f>+F18</f>
        <v>0.10349999999999999</v>
      </c>
      <c r="F23" s="467">
        <f>E23*D23</f>
        <v>5.7277108245126294E-2</v>
      </c>
      <c r="G23" s="467"/>
      <c r="H23" s="465"/>
      <c r="I23" s="465"/>
      <c r="J23" s="466"/>
      <c r="K23" s="466"/>
      <c r="L23" s="528"/>
      <c r="M23" s="47" t="str">
        <f>"True-up of ARR For "&amp;TCOS!L4&amp;""</f>
        <v>True-up of ARR For 2025</v>
      </c>
      <c r="N23" s="506">
        <f>+N22-N21</f>
        <v>-1505836.6559544951</v>
      </c>
      <c r="O23" s="506">
        <f>+O22-O21</f>
        <v>-1505836.6559544951</v>
      </c>
      <c r="P23" s="585">
        <f>+P22-P21</f>
        <v>0</v>
      </c>
    </row>
    <row r="24" spans="3:16">
      <c r="C24" s="452"/>
      <c r="D24"/>
      <c r="E24" s="468" t="s">
        <v>58</v>
      </c>
      <c r="F24" s="463">
        <f>SUM(F21:F23)</f>
        <v>7.565375586778729E-2</v>
      </c>
      <c r="G24" s="463"/>
      <c r="H24" s="465"/>
      <c r="I24" s="465"/>
      <c r="J24" s="466"/>
      <c r="K24" s="466"/>
      <c r="L24" s="528"/>
      <c r="P24" s="581"/>
    </row>
    <row r="25" spans="3:16" ht="13.5" thickBot="1">
      <c r="C25" s="41"/>
      <c r="D25" s="473"/>
      <c r="E25" s="473"/>
      <c r="F25" s="465"/>
      <c r="G25" s="465"/>
      <c r="H25" s="465"/>
      <c r="I25" s="465"/>
      <c r="J25" s="465"/>
      <c r="K25" s="465"/>
      <c r="L25" s="586"/>
      <c r="M25" s="587"/>
      <c r="N25" s="588"/>
      <c r="O25" s="588"/>
      <c r="P25" s="584"/>
    </row>
    <row r="26" spans="3:16" ht="15.75">
      <c r="C26" s="451" t="str">
        <f>"B.   Determine Return using 'R' with hypothetical "&amp;F17&amp;" basis point ROE increase for Identified Projects."</f>
        <v>B.   Determine Return using 'R' with hypothetical 0 basis point ROE increase for Identified Projects.</v>
      </c>
      <c r="D26" s="473"/>
      <c r="E26" s="473"/>
      <c r="F26" s="465"/>
      <c r="G26" s="465"/>
      <c r="H26" s="465"/>
      <c r="I26" s="453"/>
      <c r="J26" s="465"/>
      <c r="K26" s="465"/>
      <c r="L26" s="465"/>
      <c r="M26" s="465"/>
      <c r="N26" s="465"/>
      <c r="O26" s="465"/>
      <c r="P26" s="465"/>
    </row>
    <row r="27" spans="3:16">
      <c r="C27" s="455"/>
      <c r="D27" s="473"/>
      <c r="E27" s="473"/>
      <c r="F27" s="465"/>
      <c r="G27" s="465"/>
      <c r="H27" s="465"/>
      <c r="I27" s="465"/>
      <c r="J27" s="465"/>
      <c r="K27" s="465"/>
      <c r="L27" s="465"/>
      <c r="M27" s="465"/>
      <c r="N27" s="465"/>
      <c r="O27" s="465"/>
      <c r="P27" s="465"/>
    </row>
    <row r="28" spans="3:16">
      <c r="C28" s="452" t="str">
        <f>"   Rate Base  (True-Up TCOS, ln "&amp;TCOS!B118&amp;")"</f>
        <v xml:space="preserve">   Rate Base  (True-Up TCOS, ln 58)</v>
      </c>
      <c r="D28" s="453"/>
      <c r="E28" s="481">
        <f>TCOS!L118</f>
        <v>3257350051.8949709</v>
      </c>
      <c r="F28" s="488"/>
      <c r="G28" s="488"/>
      <c r="H28" s="465"/>
      <c r="I28" s="465"/>
      <c r="J28" s="465"/>
      <c r="K28" s="465"/>
      <c r="L28" s="465"/>
      <c r="M28" s="465"/>
      <c r="N28" s="465"/>
      <c r="O28" s="465"/>
      <c r="P28" s="488"/>
    </row>
    <row r="29" spans="3:16">
      <c r="C29" s="455" t="s">
        <v>60</v>
      </c>
      <c r="D29" s="483"/>
      <c r="E29" s="463">
        <f>F24</f>
        <v>7.565375586778729E-2</v>
      </c>
      <c r="F29" s="465"/>
      <c r="G29" s="465"/>
      <c r="H29" s="465"/>
      <c r="I29" s="465"/>
      <c r="J29" s="465"/>
      <c r="K29" s="465"/>
      <c r="L29" s="465"/>
      <c r="M29" s="465"/>
      <c r="N29" s="465"/>
      <c r="O29" s="465"/>
      <c r="P29" s="465"/>
    </row>
    <row r="30" spans="3:16">
      <c r="C30" s="484" t="s">
        <v>61</v>
      </c>
      <c r="D30" s="484"/>
      <c r="E30" s="466">
        <f>E28*E29</f>
        <v>246430765.60198638</v>
      </c>
      <c r="F30" s="465"/>
      <c r="G30" s="465"/>
      <c r="H30" s="465"/>
      <c r="I30" s="465"/>
      <c r="J30" s="466"/>
      <c r="K30" s="466"/>
      <c r="L30" s="466"/>
      <c r="M30" s="466"/>
      <c r="N30" s="466"/>
      <c r="O30" s="466"/>
      <c r="P30" s="465"/>
    </row>
    <row r="31" spans="3:16">
      <c r="C31" s="484"/>
      <c r="D31" s="455"/>
      <c r="E31" s="455"/>
      <c r="F31" s="465"/>
      <c r="G31" s="465"/>
      <c r="H31" s="465"/>
      <c r="I31" s="465"/>
      <c r="J31" s="466"/>
      <c r="K31" s="466"/>
      <c r="L31" s="466"/>
      <c r="M31" s="466"/>
      <c r="N31" s="466"/>
      <c r="O31" s="466"/>
      <c r="P31" s="465"/>
    </row>
    <row r="32" spans="3:16" ht="15.75">
      <c r="C32" s="451" t="str">
        <f>"C.   Determine Income Taxes using Return with hypothetical "&amp;F17&amp;" basis point ROE increase for Identified Projects."</f>
        <v>C.   Determine Income Taxes using Return with hypothetical 0 basis point ROE increase for Identified Projects.</v>
      </c>
      <c r="D32" s="485"/>
      <c r="E32" s="485"/>
      <c r="F32" s="486"/>
      <c r="G32" s="486"/>
      <c r="H32" s="486"/>
      <c r="I32" s="486"/>
      <c r="J32" s="487"/>
      <c r="K32" s="487"/>
      <c r="L32" s="487"/>
      <c r="M32" s="487"/>
      <c r="N32" s="487"/>
      <c r="O32" s="487"/>
      <c r="P32" s="486"/>
    </row>
    <row r="33" spans="2:16">
      <c r="C33" s="452"/>
      <c r="D33" s="455"/>
      <c r="E33" s="455"/>
      <c r="F33" s="465"/>
      <c r="G33" s="465"/>
      <c r="H33" s="465"/>
      <c r="I33" s="465"/>
      <c r="J33" s="466"/>
      <c r="K33" s="466"/>
      <c r="L33" s="466"/>
      <c r="M33" s="466"/>
      <c r="N33" s="466"/>
      <c r="O33" s="466"/>
      <c r="P33" s="465"/>
    </row>
    <row r="34" spans="2:16">
      <c r="C34" s="455" t="s">
        <v>62</v>
      </c>
      <c r="D34" s="468"/>
      <c r="E34" s="488">
        <f>E30</f>
        <v>246430765.60198638</v>
      </c>
      <c r="F34" s="465"/>
      <c r="G34" s="465"/>
      <c r="H34" s="465"/>
      <c r="I34" s="465"/>
      <c r="J34" s="465"/>
      <c r="K34" s="465"/>
      <c r="L34" s="465"/>
      <c r="M34" s="465"/>
      <c r="N34" s="465"/>
      <c r="O34" s="465"/>
      <c r="P34" s="465"/>
    </row>
    <row r="35" spans="2:16">
      <c r="C35" s="452" t="str">
        <f>"   Effective Tax Rate  (TCOS, ln "&amp;TCOS!B178&amp;")"</f>
        <v xml:space="preserve">   Effective Tax Rate  (TCOS, ln 97)</v>
      </c>
      <c r="D35" s="47"/>
      <c r="E35" s="489">
        <f>TCOS!G178</f>
        <v>0.25065186326440542</v>
      </c>
      <c r="F35" s="3"/>
      <c r="G35" s="3"/>
      <c r="H35" s="3"/>
      <c r="I35" s="490"/>
      <c r="J35" s="3"/>
      <c r="K35" s="3"/>
    </row>
    <row r="36" spans="2:16">
      <c r="C36" s="484" t="s">
        <v>63</v>
      </c>
      <c r="D36" s="47"/>
      <c r="E36" s="491">
        <f>E34*E35</f>
        <v>61768330.563811831</v>
      </c>
      <c r="F36" s="3"/>
      <c r="G36" s="3"/>
      <c r="H36" s="3"/>
      <c r="I36" s="490"/>
      <c r="J36" s="3"/>
      <c r="K36" s="3"/>
    </row>
    <row r="37" spans="2:16" ht="15">
      <c r="C37" s="452" t="s">
        <v>105</v>
      </c>
      <c r="D37" s="135"/>
      <c r="E37" s="465">
        <f>TCOS!L186</f>
        <v>0</v>
      </c>
      <c r="F37" s="135"/>
      <c r="G37" s="135"/>
      <c r="H37" s="135"/>
      <c r="I37" s="135"/>
      <c r="J37" s="135"/>
      <c r="K37" s="135"/>
      <c r="L37" s="135"/>
      <c r="M37" s="135"/>
      <c r="N37" s="135"/>
      <c r="O37" s="135"/>
      <c r="P37" s="149"/>
    </row>
    <row r="38" spans="2:16" ht="15">
      <c r="C38" s="452" t="s">
        <v>558</v>
      </c>
      <c r="D38" s="135"/>
      <c r="E38" s="465">
        <f>TCOS!L187</f>
        <v>1553407.8969699086</v>
      </c>
      <c r="F38" s="135"/>
      <c r="G38" s="135"/>
      <c r="H38" s="135"/>
      <c r="I38" s="135"/>
      <c r="J38" s="135"/>
      <c r="K38" s="135"/>
      <c r="L38" s="135"/>
      <c r="M38" s="135"/>
      <c r="N38" s="135"/>
      <c r="O38" s="135"/>
      <c r="P38" s="149"/>
    </row>
    <row r="39" spans="2:16" ht="15">
      <c r="C39" s="452" t="s">
        <v>560</v>
      </c>
      <c r="D39" s="135"/>
      <c r="E39" s="589">
        <f>TCOS!L188</f>
        <v>1266074.2814449801</v>
      </c>
      <c r="F39" s="135"/>
      <c r="G39" s="135"/>
      <c r="H39" s="135"/>
      <c r="I39" s="135"/>
      <c r="J39" s="135"/>
      <c r="K39" s="135"/>
      <c r="L39" s="135"/>
      <c r="M39" s="135"/>
      <c r="N39" s="135"/>
      <c r="O39" s="135"/>
      <c r="P39" s="149"/>
    </row>
    <row r="40" spans="2:16" ht="15">
      <c r="C40" s="484" t="s">
        <v>64</v>
      </c>
      <c r="D40" s="135"/>
      <c r="E40" s="465">
        <f>E36+E37+E38+E39</f>
        <v>64587812.74222672</v>
      </c>
      <c r="F40" s="135"/>
      <c r="G40" s="135"/>
      <c r="H40" s="135"/>
      <c r="I40" s="135"/>
      <c r="J40" s="135"/>
      <c r="K40" s="135"/>
      <c r="L40" s="135"/>
      <c r="M40" s="135"/>
      <c r="N40" s="135"/>
      <c r="O40" s="135"/>
      <c r="P40" s="148"/>
    </row>
    <row r="41" spans="2:16" ht="12.75" customHeight="1">
      <c r="C41" s="132"/>
      <c r="D41" s="135"/>
      <c r="E41" s="135"/>
      <c r="F41" s="135"/>
      <c r="G41" s="135"/>
      <c r="H41" s="135"/>
      <c r="I41" s="135"/>
      <c r="J41" s="135"/>
      <c r="K41" s="135"/>
      <c r="L41" s="135"/>
      <c r="M41" s="135"/>
      <c r="N41" s="135"/>
      <c r="O41" s="135"/>
      <c r="P41" s="148"/>
    </row>
    <row r="42" spans="2:16" ht="18.75">
      <c r="B42" s="449" t="s">
        <v>470</v>
      </c>
      <c r="C42" s="6" t="str">
        <f>"Calculate Net Plant Carrying Charge Rate (Fixed Charge Rate or FCR) with hypothetical "&amp;F17&amp;""</f>
        <v>Calculate Net Plant Carrying Charge Rate (Fixed Charge Rate or FCR) with hypothetical 0</v>
      </c>
      <c r="D42" s="135"/>
      <c r="E42" s="135"/>
      <c r="F42" s="135"/>
      <c r="G42" s="135"/>
      <c r="H42" s="135"/>
      <c r="I42" s="135"/>
      <c r="J42" s="135"/>
      <c r="K42" s="135"/>
      <c r="L42" s="135"/>
      <c r="M42" s="135"/>
      <c r="N42" s="135"/>
      <c r="O42" s="135"/>
      <c r="P42" s="148"/>
    </row>
    <row r="43" spans="2:16" ht="18.75" customHeight="1">
      <c r="C43" s="6" t="str">
        <f>"basis point ROE increase."</f>
        <v>basis point ROE increase.</v>
      </c>
      <c r="D43" s="135"/>
      <c r="E43" s="135"/>
      <c r="F43" s="135"/>
      <c r="G43" s="135"/>
      <c r="H43" s="135"/>
      <c r="I43" s="135"/>
      <c r="J43" s="135"/>
      <c r="K43" s="135"/>
      <c r="L43" s="135"/>
      <c r="M43" s="135"/>
      <c r="N43" s="135"/>
      <c r="O43" s="135"/>
      <c r="P43" s="148"/>
    </row>
    <row r="44" spans="2:16" ht="12.75" customHeight="1">
      <c r="C44" s="6"/>
      <c r="D44" s="135"/>
      <c r="E44" s="135"/>
      <c r="F44" s="135"/>
      <c r="G44" s="135"/>
      <c r="H44" s="135"/>
      <c r="I44" s="135"/>
      <c r="J44" s="135"/>
      <c r="K44" s="135"/>
      <c r="L44" s="135"/>
      <c r="M44" s="135"/>
      <c r="N44" s="135"/>
      <c r="O44" s="135"/>
      <c r="P44" s="148"/>
    </row>
    <row r="45" spans="2:16" ht="15.75">
      <c r="C45" s="451" t="s">
        <v>261</v>
      </c>
      <c r="D45" s="135"/>
      <c r="E45" s="135"/>
      <c r="F45" s="132"/>
      <c r="G45" s="132"/>
      <c r="H45" s="135"/>
      <c r="I45" s="135"/>
      <c r="J45" s="135"/>
      <c r="K45" s="135"/>
      <c r="L45" s="135"/>
      <c r="M45" s="135"/>
      <c r="N45" s="135"/>
      <c r="O45" s="135"/>
      <c r="P45" s="148"/>
    </row>
    <row r="46" spans="2:16">
      <c r="B46" s="3"/>
      <c r="C46" s="452"/>
      <c r="D46" s="453"/>
      <c r="E46" s="453"/>
      <c r="F46" s="453"/>
      <c r="G46" s="453"/>
      <c r="H46" s="453"/>
      <c r="I46" s="453"/>
      <c r="J46" s="453"/>
      <c r="K46" s="453"/>
      <c r="L46" s="453"/>
      <c r="M46" s="453"/>
      <c r="N46" s="453"/>
      <c r="O46" s="453"/>
      <c r="P46" s="465"/>
    </row>
    <row r="47" spans="2:16" ht="12.75" customHeight="1">
      <c r="B47" s="3"/>
      <c r="C47" s="452" t="str">
        <f>"   Annual Revenue Requirement  (TCOS, ln "&amp;TCOS!B13&amp;")"</f>
        <v xml:space="preserve">   Annual Revenue Requirement  (TCOS, ln 1)</v>
      </c>
      <c r="D47" s="453"/>
      <c r="E47" s="453"/>
      <c r="F47" s="465">
        <f>TCOS!L13</f>
        <v>507686124.03842551</v>
      </c>
      <c r="G47" s="465"/>
      <c r="H47" s="590" t="s">
        <v>414</v>
      </c>
      <c r="I47" s="453"/>
      <c r="J47" s="453"/>
      <c r="K47" s="453"/>
      <c r="L47" s="453"/>
      <c r="M47" s="453"/>
      <c r="N47" s="453"/>
      <c r="O47" s="453"/>
      <c r="P47" s="465"/>
    </row>
    <row r="48" spans="2:16" ht="12.75" customHeight="1">
      <c r="B48" s="3"/>
      <c r="C48" s="493" t="str">
        <f>"   Lease Payments (TCOS, Lns "&amp;TCOS!B157&amp;")"</f>
        <v xml:space="preserve">   Lease Payments (TCOS, Lns 80)</v>
      </c>
      <c r="D48" s="453"/>
      <c r="E48" s="453"/>
      <c r="F48" s="465">
        <f>TCOS!L157</f>
        <v>0</v>
      </c>
      <c r="G48" s="465"/>
      <c r="H48" s="590"/>
      <c r="I48" s="453"/>
      <c r="J48" s="453"/>
      <c r="K48" s="453"/>
      <c r="L48" s="453"/>
      <c r="M48" s="453"/>
      <c r="N48" s="453"/>
      <c r="O48" s="453"/>
      <c r="P48" s="465"/>
    </row>
    <row r="49" spans="2:16">
      <c r="B49" s="3"/>
      <c r="C49" s="452" t="str">
        <f>"   Return  (TCOS, ln "&amp;TCOS!B191&amp;")"</f>
        <v xml:space="preserve">   Return  (TCOS, ln 109)</v>
      </c>
      <c r="D49" s="453"/>
      <c r="E49" s="453"/>
      <c r="F49" s="466">
        <f>TCOS!L191</f>
        <v>245739810.000626</v>
      </c>
      <c r="G49" s="466"/>
      <c r="H49" s="452"/>
      <c r="I49" s="452"/>
      <c r="J49" s="452"/>
      <c r="K49" s="452"/>
      <c r="L49" s="452"/>
      <c r="M49" s="452"/>
      <c r="N49" s="452"/>
      <c r="O49" s="452"/>
      <c r="P49" s="465"/>
    </row>
    <row r="50" spans="2:16">
      <c r="B50" s="3"/>
      <c r="C50" s="452" t="str">
        <f>"   Income Taxes  (TCOS, ln "&amp;TCOS!B189&amp;")"</f>
        <v xml:space="preserve">   Income Taxes  (TCOS, ln 108)</v>
      </c>
      <c r="D50" s="453"/>
      <c r="E50" s="453"/>
      <c r="F50" s="494">
        <f>TCOS!L189</f>
        <v>64414623.433312766</v>
      </c>
      <c r="G50" s="494"/>
      <c r="H50" s="453"/>
      <c r="I50" s="453"/>
      <c r="J50" s="495"/>
      <c r="K50" s="495"/>
      <c r="L50" s="495"/>
      <c r="M50" s="495"/>
      <c r="N50" s="495"/>
      <c r="O50" s="495"/>
      <c r="P50" s="453"/>
    </row>
    <row r="51" spans="2:16" ht="12.6" customHeight="1">
      <c r="B51" s="3"/>
      <c r="C51" s="1223" t="s">
        <v>621</v>
      </c>
      <c r="D51" s="1223"/>
      <c r="E51" s="453"/>
      <c r="F51" s="466">
        <f>F47-F49-F50-F48</f>
        <v>197531690.60448673</v>
      </c>
      <c r="G51" s="466"/>
      <c r="H51" s="496"/>
      <c r="I51" s="453"/>
      <c r="J51" s="496"/>
      <c r="K51" s="496"/>
      <c r="L51" s="496"/>
      <c r="M51" s="496"/>
      <c r="N51" s="496"/>
      <c r="O51" s="496"/>
      <c r="P51" s="496"/>
    </row>
    <row r="52" spans="2:16">
      <c r="B52" s="3"/>
      <c r="C52" s="1223"/>
      <c r="D52" s="1223"/>
      <c r="E52" s="453"/>
      <c r="F52" s="465"/>
      <c r="G52" s="465"/>
      <c r="H52" s="497"/>
      <c r="I52" s="498"/>
      <c r="J52" s="498"/>
      <c r="K52" s="498"/>
      <c r="L52" s="498"/>
      <c r="M52" s="498"/>
      <c r="N52" s="498"/>
      <c r="O52" s="498"/>
      <c r="P52" s="498"/>
    </row>
    <row r="53" spans="2:16" ht="15.75">
      <c r="B53" s="3"/>
      <c r="C53" s="451" t="str">
        <f>"B.   Determine Annual Revenue Requirement with hypothetical "&amp;F17&amp;" basis point increase in ROE."</f>
        <v>B.   Determine Annual Revenue Requirement with hypothetical 0 basis point increase in ROE.</v>
      </c>
      <c r="D53" s="455"/>
      <c r="E53" s="455"/>
      <c r="F53" s="465"/>
      <c r="G53" s="465"/>
      <c r="H53" s="497"/>
      <c r="I53" s="498"/>
      <c r="J53" s="498"/>
      <c r="K53" s="498"/>
      <c r="L53" s="498"/>
      <c r="M53" s="498"/>
      <c r="N53" s="498"/>
      <c r="O53" s="498"/>
      <c r="P53" s="498"/>
    </row>
    <row r="54" spans="2:16">
      <c r="B54" s="3"/>
      <c r="C54" s="452"/>
      <c r="D54" s="455"/>
      <c r="E54" s="455"/>
      <c r="F54" s="465"/>
      <c r="G54" s="465"/>
      <c r="H54" s="497"/>
      <c r="I54" s="498"/>
      <c r="J54" s="498"/>
      <c r="K54" s="498"/>
      <c r="L54" s="498"/>
      <c r="M54" s="498"/>
      <c r="N54" s="498"/>
      <c r="O54" s="498"/>
      <c r="P54" s="498"/>
    </row>
    <row r="55" spans="2:16">
      <c r="B55" s="3"/>
      <c r="C55" s="493" t="str">
        <f>C51</f>
        <v xml:space="preserve">   Annual Revenue Requirement, Less Lease Payments, Return and Taxes</v>
      </c>
      <c r="D55" s="455"/>
      <c r="E55" s="455"/>
      <c r="F55" s="465">
        <f>F51</f>
        <v>197531690.60448673</v>
      </c>
      <c r="G55" s="465"/>
      <c r="H55" s="453"/>
      <c r="I55" s="453"/>
      <c r="J55" s="453"/>
      <c r="K55" s="453"/>
      <c r="L55" s="453"/>
      <c r="M55" s="453"/>
      <c r="N55" s="453"/>
      <c r="O55" s="453"/>
      <c r="P55" s="499"/>
    </row>
    <row r="56" spans="2:16">
      <c r="B56" s="3"/>
      <c r="C56" s="455" t="s">
        <v>102</v>
      </c>
      <c r="D56" s="47"/>
      <c r="E56" s="3"/>
      <c r="F56" s="491">
        <f>E30</f>
        <v>246430765.60198638</v>
      </c>
      <c r="G56" s="491"/>
      <c r="H56" s="3"/>
      <c r="I56" s="591"/>
      <c r="J56" s="3"/>
      <c r="K56" s="3"/>
    </row>
    <row r="57" spans="2:16" ht="12.75" customHeight="1">
      <c r="B57" s="3"/>
      <c r="C57" s="452" t="s">
        <v>70</v>
      </c>
      <c r="D57" s="453"/>
      <c r="E57" s="453"/>
      <c r="F57" s="494">
        <f>E40</f>
        <v>64587812.74222672</v>
      </c>
      <c r="G57" s="494"/>
      <c r="H57" s="3"/>
      <c r="I57" s="490"/>
      <c r="J57" s="3"/>
      <c r="K57" s="3"/>
    </row>
    <row r="58" spans="2:16">
      <c r="B58" s="3"/>
      <c r="C58" s="3" t="str">
        <f>"   Annual Revenue Requirement, with "&amp;F17&amp;" Basis Point ROE increase"</f>
        <v xml:space="preserve">   Annual Revenue Requirement, with 0 Basis Point ROE increase</v>
      </c>
      <c r="D58" s="47"/>
      <c r="E58" s="3"/>
      <c r="F58" s="491">
        <f>SUM(F55:F57)</f>
        <v>508550268.94869983</v>
      </c>
      <c r="G58" s="491"/>
      <c r="H58" s="3"/>
      <c r="I58" s="490"/>
      <c r="J58" s="3"/>
      <c r="K58" s="3"/>
    </row>
    <row r="59" spans="2:16">
      <c r="B59" s="3"/>
      <c r="C59" s="452" t="str">
        <f>"   Depreciation  (TCOS, ln "&amp;TCOS!B161&amp;")"</f>
        <v xml:space="preserve">   Depreciation  (TCOS, ln 83)</v>
      </c>
      <c r="D59" s="47"/>
      <c r="E59" s="3"/>
      <c r="F59" s="500">
        <f>TCOS!L161</f>
        <v>114406290.97774149</v>
      </c>
      <c r="G59" s="500"/>
      <c r="H59" s="491"/>
      <c r="I59" s="490"/>
      <c r="J59" s="3"/>
      <c r="K59" s="3"/>
    </row>
    <row r="60" spans="2:16" ht="12.6" customHeight="1">
      <c r="B60" s="3"/>
      <c r="C60" s="1147" t="str">
        <f>"   Annual Rev. Req, w/ "&amp;F17&amp;" Basis Point ROE increase, less Depreciation"</f>
        <v xml:space="preserve">   Annual Rev. Req, w/ 0 Basis Point ROE increase, less Depreciation</v>
      </c>
      <c r="D60" s="1147"/>
      <c r="E60" s="3"/>
      <c r="F60" s="491">
        <f>F58-F59</f>
        <v>394143977.97095835</v>
      </c>
      <c r="G60" s="491"/>
      <c r="H60" s="3"/>
      <c r="I60" s="490"/>
      <c r="J60" s="3"/>
      <c r="K60" s="3"/>
    </row>
    <row r="61" spans="2:16">
      <c r="B61" s="3"/>
      <c r="C61" s="1147"/>
      <c r="D61" s="1147"/>
      <c r="E61" s="3"/>
      <c r="F61" s="3"/>
      <c r="G61" s="3"/>
      <c r="H61" s="3"/>
      <c r="I61" s="490"/>
      <c r="J61" s="3"/>
      <c r="K61" s="3"/>
    </row>
    <row r="62" spans="2:16" ht="15.75">
      <c r="B62" s="3"/>
      <c r="C62" s="451" t="str">
        <f>"C.   Determine FCR with hypothetical "&amp;F17&amp;" basis point ROE increase."</f>
        <v>C.   Determine FCR with hypothetical 0 basis point ROE increase.</v>
      </c>
      <c r="D62" s="47"/>
      <c r="E62" s="3"/>
      <c r="F62" s="3"/>
      <c r="G62" s="3"/>
      <c r="H62" s="3"/>
      <c r="I62" s="490"/>
      <c r="J62" s="3"/>
      <c r="K62" s="3"/>
    </row>
    <row r="63" spans="2:16">
      <c r="B63" s="3"/>
      <c r="C63" s="3"/>
      <c r="D63" s="47"/>
      <c r="E63" s="3"/>
      <c r="F63" s="3"/>
      <c r="G63" s="3"/>
      <c r="H63" s="3"/>
      <c r="I63" s="490"/>
      <c r="J63" s="3"/>
      <c r="K63" s="3"/>
    </row>
    <row r="64" spans="2:16">
      <c r="B64" s="3"/>
      <c r="C64" s="452" t="str">
        <f>"   Net Transmission Plant  (Projected TCOS, ln "&amp;TCOS!B83&amp;")"</f>
        <v xml:space="preserve">   Net Transmission Plant  (Projected TCOS, ln 33)</v>
      </c>
      <c r="D64" s="47"/>
      <c r="E64" s="3"/>
      <c r="F64" s="491">
        <f>TCOS!L83</f>
        <v>3564687310.8915391</v>
      </c>
      <c r="G64" s="491"/>
      <c r="H64" s="491"/>
      <c r="I64" s="592"/>
      <c r="J64" s="3"/>
      <c r="K64" s="3"/>
    </row>
    <row r="65" spans="2:16">
      <c r="B65" s="3"/>
      <c r="C65" s="3" t="str">
        <f>"   Annual Revenue Requirement, with "&amp;F17&amp;" Basis Point ROE increase"</f>
        <v xml:space="preserve">   Annual Revenue Requirement, with 0 Basis Point ROE increase</v>
      </c>
      <c r="D65" s="47"/>
      <c r="E65" s="3"/>
      <c r="F65" s="491">
        <f>F58</f>
        <v>508550268.94869983</v>
      </c>
      <c r="G65" s="491"/>
      <c r="H65" s="3"/>
      <c r="I65" s="490"/>
      <c r="J65" s="3"/>
      <c r="K65" s="3"/>
    </row>
    <row r="66" spans="2:16">
      <c r="B66" s="3"/>
      <c r="C66" s="3" t="str">
        <f>"   FCR with "&amp;F17&amp;" Basis Point increase in ROE"</f>
        <v xml:space="preserve">   FCR with 0 Basis Point increase in ROE</v>
      </c>
      <c r="D66" s="47"/>
      <c r="E66" s="3"/>
      <c r="F66" s="489">
        <f>IF(F64=0,0,F65/F64)</f>
        <v>0.14266335995162219</v>
      </c>
      <c r="G66" s="489"/>
      <c r="H66" s="489"/>
      <c r="I66" s="490"/>
      <c r="J66" s="3"/>
      <c r="K66" s="3"/>
    </row>
    <row r="67" spans="2:16">
      <c r="B67" s="3"/>
      <c r="C67" s="41"/>
      <c r="D67" s="47"/>
      <c r="E67" s="3"/>
      <c r="F67" s="3"/>
      <c r="G67" s="3"/>
      <c r="H67" s="3"/>
      <c r="I67" s="490"/>
      <c r="J67" s="3"/>
      <c r="K67" s="3"/>
    </row>
    <row r="68" spans="2:16">
      <c r="B68" s="3"/>
      <c r="C68" s="3" t="str">
        <f>"   Annual Rev. Req, w / "&amp;F17&amp;" Basis Point ROE increase, less Dep."</f>
        <v xml:space="preserve">   Annual Rev. Req, w / 0 Basis Point ROE increase, less Dep.</v>
      </c>
      <c r="D68" s="47"/>
      <c r="E68" s="3"/>
      <c r="F68" s="491">
        <f>F60</f>
        <v>394143977.97095835</v>
      </c>
      <c r="G68" s="491"/>
      <c r="H68" s="3"/>
      <c r="I68" s="490"/>
      <c r="J68" s="3"/>
      <c r="K68" s="3"/>
    </row>
    <row r="69" spans="2:16">
      <c r="B69" s="3"/>
      <c r="C69" s="3" t="str">
        <f>"   FCR with "&amp;F17&amp;" Basis Point ROE increase, less Depreciation"</f>
        <v xml:space="preserve">   FCR with 0 Basis Point ROE increase, less Depreciation</v>
      </c>
      <c r="D69" s="47"/>
      <c r="E69" s="3"/>
      <c r="F69" s="489">
        <f>IF(F68=0,0,F68/F64)</f>
        <v>0.11056901870935258</v>
      </c>
      <c r="G69" s="489"/>
      <c r="H69" s="3"/>
      <c r="I69" s="490"/>
      <c r="J69" s="3"/>
      <c r="K69" s="3"/>
    </row>
    <row r="70" spans="2:16">
      <c r="B70" s="3"/>
      <c r="C70" s="452" t="str">
        <f>"   FCR less Depreciation  (TCOS, ln "&amp;TCOS!B31&amp;")"</f>
        <v xml:space="preserve">   FCR less Depreciation  (TCOS, ln 10)</v>
      </c>
      <c r="D70" s="47"/>
      <c r="E70" s="3"/>
      <c r="F70" s="502">
        <f>TCOS!L31</f>
        <v>0.11032660055737779</v>
      </c>
      <c r="G70" s="502"/>
      <c r="H70" s="3"/>
      <c r="I70" s="490"/>
      <c r="J70" s="3"/>
      <c r="K70" s="3"/>
    </row>
    <row r="71" spans="2:16" ht="12.6" customHeight="1">
      <c r="B71" s="3"/>
      <c r="C71" s="1147" t="str">
        <f>"   Incremental FCR with "&amp;F17&amp;" Basis Point ROE increase, less Depreciation"</f>
        <v xml:space="preserve">   Incremental FCR with 0 Basis Point ROE increase, less Depreciation</v>
      </c>
      <c r="D71" s="1147"/>
      <c r="E71" s="3"/>
      <c r="F71" s="489">
        <f>F69-F70</f>
        <v>2.4241815197478811E-4</v>
      </c>
      <c r="G71" s="489"/>
      <c r="H71" s="3"/>
      <c r="I71" s="490"/>
      <c r="J71" s="3"/>
      <c r="K71" s="3"/>
    </row>
    <row r="72" spans="2:16">
      <c r="B72" s="3"/>
      <c r="C72" s="1147"/>
      <c r="D72" s="1147"/>
      <c r="E72" s="3"/>
      <c r="F72" s="489"/>
      <c r="G72" s="489"/>
      <c r="H72" s="3"/>
      <c r="I72" s="490"/>
      <c r="J72" s="3"/>
      <c r="K72" s="3"/>
    </row>
    <row r="73" spans="2:16" ht="18.75">
      <c r="B73" s="449" t="s">
        <v>471</v>
      </c>
      <c r="C73" s="6" t="s">
        <v>71</v>
      </c>
      <c r="D73" s="47"/>
      <c r="E73" s="3"/>
      <c r="F73" s="489"/>
      <c r="G73" s="489"/>
      <c r="H73" s="3"/>
      <c r="I73" s="490"/>
      <c r="J73" s="3"/>
      <c r="K73" s="3"/>
    </row>
    <row r="74" spans="2:16">
      <c r="B74" s="3"/>
      <c r="C74" s="3"/>
      <c r="D74" s="47"/>
      <c r="E74" s="3"/>
      <c r="F74" s="489"/>
      <c r="G74" s="489"/>
      <c r="H74" s="3"/>
      <c r="I74" s="490"/>
      <c r="J74" s="3"/>
      <c r="K74" s="3"/>
    </row>
    <row r="75" spans="2:16">
      <c r="B75" s="3"/>
      <c r="C75" s="3" t="str">
        <f>+"Average Transmission Plant Balance for "&amp;TCOS!L4&amp;" TCOS, ln "&amp;TCOS!B63</f>
        <v>Average Transmission Plant Balance for 2025 TCOS, ln 19</v>
      </c>
      <c r="D75" s="47"/>
      <c r="E75" s="3"/>
      <c r="F75" s="3"/>
      <c r="G75" s="3"/>
      <c r="H75" s="490">
        <f>TCOS!L63</f>
        <v>4126399433.2892313</v>
      </c>
      <c r="J75" s="3"/>
      <c r="K75" s="3"/>
    </row>
    <row r="76" spans="2:16">
      <c r="B76" s="3"/>
      <c r="C76" s="3" t="str">
        <f>"Annual Depreciation and Amortization Expense (TCOS, ln "&amp;TCOS!B161&amp;")"</f>
        <v>Annual Depreciation and Amortization Expense (TCOS, ln 83)</v>
      </c>
      <c r="D76" s="47"/>
      <c r="E76" s="3"/>
      <c r="H76" s="345">
        <f>TCOS!L161</f>
        <v>114406290.97774149</v>
      </c>
      <c r="I76" s="490"/>
      <c r="J76" s="3"/>
      <c r="K76" s="3"/>
    </row>
    <row r="77" spans="2:16" ht="12.6" customHeight="1">
      <c r="B77" s="3"/>
      <c r="C77" s="3" t="s">
        <v>72</v>
      </c>
      <c r="D77" s="47"/>
      <c r="E77" s="3"/>
      <c r="H77" s="643">
        <f>H76/H75</f>
        <v>2.7725452377388021E-2</v>
      </c>
      <c r="I77" s="504"/>
      <c r="J77" s="1214"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AEP Indiana Michigan Transmission Company establishes Transmission plant in service the depreciation expense component of the carrying charge will be calculated as in the Operating Company formula approved in Docket No. ER08-1329.  The calculation for AEP Indiana Michigan Transmission Company is shown on Worksheet P.</v>
      </c>
      <c r="K77" s="1214"/>
      <c r="L77" s="1214"/>
      <c r="M77" s="1214"/>
      <c r="N77" s="1214"/>
      <c r="O77" s="1214"/>
      <c r="P77" s="1214"/>
    </row>
    <row r="78" spans="2:16">
      <c r="B78" s="3"/>
      <c r="C78" s="3" t="s">
        <v>73</v>
      </c>
      <c r="D78" s="47"/>
      <c r="E78" s="3"/>
      <c r="H78" s="505">
        <f>IF(H77=0,0,1/H77)</f>
        <v>36.06794170166787</v>
      </c>
      <c r="I78" s="490"/>
      <c r="J78" s="1214"/>
      <c r="K78" s="1214"/>
      <c r="L78" s="1214"/>
      <c r="M78" s="1214"/>
      <c r="N78" s="1214"/>
      <c r="O78" s="1214"/>
      <c r="P78" s="1214"/>
    </row>
    <row r="79" spans="2:16">
      <c r="B79" s="3"/>
      <c r="C79" s="3" t="s">
        <v>596</v>
      </c>
      <c r="D79" s="47"/>
      <c r="E79" s="3"/>
      <c r="H79" s="506">
        <f>ROUND(H78,0)</f>
        <v>36</v>
      </c>
      <c r="I79" s="490"/>
      <c r="J79" s="1214"/>
      <c r="K79" s="1214"/>
      <c r="L79" s="1214"/>
      <c r="M79" s="1214"/>
      <c r="N79" s="1214"/>
      <c r="O79" s="1214"/>
      <c r="P79" s="1214"/>
    </row>
    <row r="80" spans="2:16">
      <c r="B80" s="3"/>
      <c r="C80" s="3"/>
      <c r="D80" s="47"/>
      <c r="E80" s="3"/>
      <c r="H80" s="506"/>
      <c r="I80" s="490"/>
      <c r="J80" s="1214"/>
      <c r="K80" s="1214"/>
      <c r="L80" s="1214"/>
      <c r="M80" s="1214"/>
      <c r="N80" s="1214"/>
      <c r="O80" s="1214"/>
      <c r="P80" s="1214"/>
    </row>
    <row r="81" spans="1:17" ht="20.25">
      <c r="A81" s="447" t="str">
        <f>""&amp;A6&amp;" Worksheet K -  ATRR TRUE-UP Calculation for PJM Projects Charged to Benefiting Zones"</f>
        <v>AEP Indiana Michigan Transmission Company Worksheet K -  ATRR TRUE-UP Calculation for PJM Projects Charged to Benefiting Zones</v>
      </c>
      <c r="B81" s="3"/>
      <c r="C81" s="3"/>
      <c r="D81" s="47"/>
      <c r="E81" s="3"/>
      <c r="F81" s="489"/>
      <c r="G81" s="489"/>
      <c r="H81" s="3"/>
      <c r="I81" s="490"/>
      <c r="L81" s="398"/>
      <c r="M81" s="398"/>
      <c r="N81" s="398"/>
      <c r="O81" s="398" t="str">
        <f>"Page "&amp;SUM(Q$8:Q81)&amp;" of "</f>
        <v xml:space="preserve">Page 1 of </v>
      </c>
      <c r="P81" s="448">
        <f>COUNT(Q$8:Q$56657)</f>
        <v>10</v>
      </c>
      <c r="Q81">
        <v>1</v>
      </c>
    </row>
    <row r="82" spans="1:17">
      <c r="B82" s="3"/>
      <c r="C82" s="3"/>
      <c r="D82" s="47"/>
      <c r="E82" s="3"/>
      <c r="F82" s="3"/>
      <c r="G82" s="3"/>
      <c r="H82" s="3"/>
      <c r="I82" s="490"/>
      <c r="J82" s="3"/>
      <c r="K82" s="3"/>
    </row>
    <row r="83" spans="1:17" ht="18">
      <c r="B83" s="449" t="s">
        <v>472</v>
      </c>
      <c r="C83" s="122" t="s">
        <v>93</v>
      </c>
      <c r="D83" s="47"/>
      <c r="E83" s="3"/>
      <c r="F83" s="3"/>
      <c r="G83" s="3"/>
      <c r="H83" s="3"/>
      <c r="I83" s="490"/>
      <c r="J83" s="490"/>
      <c r="K83" s="503"/>
      <c r="L83" s="490"/>
      <c r="M83" s="490"/>
      <c r="N83" s="490"/>
      <c r="O83" s="490"/>
    </row>
    <row r="84" spans="1:17" ht="18.75">
      <c r="B84" s="449"/>
      <c r="C84" s="6"/>
      <c r="D84" s="47"/>
      <c r="E84" s="3"/>
      <c r="F84" s="3"/>
      <c r="G84" s="3"/>
      <c r="H84" s="3"/>
      <c r="I84" s="490"/>
      <c r="J84" s="490"/>
      <c r="K84" s="503"/>
      <c r="L84" s="490"/>
      <c r="M84" s="490"/>
      <c r="N84" s="490"/>
      <c r="O84" s="490"/>
    </row>
    <row r="85" spans="1:17" ht="18.75">
      <c r="B85" s="449"/>
      <c r="C85" s="6" t="s">
        <v>94</v>
      </c>
      <c r="D85" s="47"/>
      <c r="E85" s="3"/>
      <c r="F85" s="3"/>
      <c r="G85" s="3"/>
      <c r="H85" s="3"/>
      <c r="I85" s="490"/>
      <c r="J85" s="490"/>
      <c r="K85" s="503"/>
      <c r="L85" s="490"/>
      <c r="M85" s="490"/>
      <c r="N85" s="490"/>
      <c r="O85" s="490"/>
    </row>
    <row r="86" spans="1:17" ht="15.75" thickBot="1">
      <c r="C86" s="132"/>
      <c r="D86" s="47"/>
      <c r="E86" s="3"/>
      <c r="F86" s="3"/>
      <c r="G86" s="3"/>
      <c r="H86" s="3"/>
      <c r="I86" s="490"/>
      <c r="J86" s="490"/>
      <c r="K86" s="503"/>
      <c r="L86" s="490"/>
      <c r="M86" s="490"/>
      <c r="N86" s="490"/>
      <c r="O86" s="490"/>
    </row>
    <row r="87" spans="1:17" ht="15.75">
      <c r="C87" s="451" t="s">
        <v>95</v>
      </c>
      <c r="D87" s="47"/>
      <c r="E87" s="3"/>
      <c r="F87" s="3"/>
      <c r="G87" s="3"/>
      <c r="H87" s="566"/>
      <c r="I87" s="3" t="s">
        <v>74</v>
      </c>
      <c r="J87" s="3"/>
      <c r="K87" s="3"/>
      <c r="L87" s="593">
        <f>+J93</f>
        <v>2025</v>
      </c>
      <c r="M87" s="576" t="s">
        <v>52</v>
      </c>
      <c r="N87" s="576" t="s">
        <v>53</v>
      </c>
      <c r="O87" s="577" t="s">
        <v>55</v>
      </c>
    </row>
    <row r="88" spans="1:17" ht="15.75">
      <c r="C88" s="451"/>
      <c r="D88" s="47"/>
      <c r="E88" s="3"/>
      <c r="F88" s="3"/>
      <c r="H88" s="3"/>
      <c r="I88" s="513"/>
      <c r="J88" s="513"/>
      <c r="K88" s="514"/>
      <c r="L88" s="594" t="s">
        <v>243</v>
      </c>
      <c r="M88" s="595">
        <f>VLOOKUP(J93,C100:P159,10)</f>
        <v>662590.49794160854</v>
      </c>
      <c r="N88" s="595">
        <f>VLOOKUP(J93,C100:P159,12)</f>
        <v>662590.49794160854</v>
      </c>
      <c r="O88" s="596">
        <f>+N88-M88</f>
        <v>0</v>
      </c>
    </row>
    <row r="89" spans="1:17">
      <c r="C89" s="518" t="s">
        <v>96</v>
      </c>
      <c r="D89" s="1224" t="s">
        <v>813</v>
      </c>
      <c r="E89" s="1224"/>
      <c r="F89" s="1224"/>
      <c r="G89" s="1224"/>
      <c r="H89" s="1224"/>
      <c r="I89" s="1224"/>
      <c r="J89" s="490"/>
      <c r="K89" s="503"/>
      <c r="L89" s="594" t="s">
        <v>244</v>
      </c>
      <c r="M89" s="597">
        <f>VLOOKUP(J93,C100:P159,6)</f>
        <v>643244.92202914157</v>
      </c>
      <c r="N89" s="597">
        <f>VLOOKUP(J93,C100:P159,7)</f>
        <v>643244.92202914157</v>
      </c>
      <c r="O89" s="598">
        <f>+N89-M89</f>
        <v>0</v>
      </c>
    </row>
    <row r="90" spans="1:17" ht="13.5" thickBot="1">
      <c r="C90" s="522"/>
      <c r="D90" s="523"/>
      <c r="E90" s="506"/>
      <c r="F90" s="506"/>
      <c r="G90" s="506"/>
      <c r="H90" s="524"/>
      <c r="I90" s="490"/>
      <c r="J90" s="490"/>
      <c r="K90" s="503"/>
      <c r="L90" s="533" t="s">
        <v>245</v>
      </c>
      <c r="M90" s="599">
        <f>+M89-M88</f>
        <v>-19345.575912466971</v>
      </c>
      <c r="N90" s="599">
        <f>+N89-N88</f>
        <v>-19345.575912466971</v>
      </c>
      <c r="O90" s="600">
        <f>+O89-O88</f>
        <v>0</v>
      </c>
    </row>
    <row r="91" spans="1:17" ht="13.5" thickBot="1">
      <c r="C91" s="522"/>
      <c r="D91" s="3"/>
      <c r="E91" s="524"/>
      <c r="F91" s="524"/>
      <c r="G91" s="524"/>
      <c r="H91" s="524"/>
      <c r="I91" s="524"/>
      <c r="J91" s="524"/>
      <c r="K91" s="524"/>
      <c r="L91" s="524"/>
      <c r="M91" s="524"/>
      <c r="N91" s="524"/>
      <c r="O91" s="524"/>
    </row>
    <row r="92" spans="1:17" ht="13.5" thickBot="1">
      <c r="C92" s="525" t="s">
        <v>97</v>
      </c>
      <c r="D92" s="526"/>
      <c r="E92" s="526"/>
      <c r="F92" s="526"/>
      <c r="G92" s="526"/>
      <c r="H92" s="526"/>
      <c r="I92" s="526"/>
      <c r="J92" s="526"/>
    </row>
    <row r="93" spans="1:17" ht="15">
      <c r="C93" s="528" t="s">
        <v>75</v>
      </c>
      <c r="D93" s="568">
        <v>6445563.9500000002</v>
      </c>
      <c r="E93" s="3" t="s">
        <v>76</v>
      </c>
      <c r="H93" s="47"/>
      <c r="I93" s="47"/>
      <c r="J93" s="529">
        <v>2025</v>
      </c>
      <c r="K93" s="70"/>
      <c r="L93" s="1211" t="s">
        <v>77</v>
      </c>
      <c r="M93" s="1211"/>
      <c r="N93" s="1211"/>
      <c r="O93" s="1211"/>
    </row>
    <row r="94" spans="1:17">
      <c r="C94" s="528" t="s">
        <v>78</v>
      </c>
      <c r="D94" s="569">
        <v>2012</v>
      </c>
      <c r="E94" s="528" t="s">
        <v>79</v>
      </c>
      <c r="F94" s="47"/>
      <c r="G94" s="47"/>
      <c r="I94"/>
      <c r="J94" s="570">
        <f>IF(H87="",0,$F$17)</f>
        <v>0</v>
      </c>
      <c r="K94" s="530"/>
      <c r="L94" s="503" t="s">
        <v>285</v>
      </c>
    </row>
    <row r="95" spans="1:17">
      <c r="C95" s="528" t="s">
        <v>80</v>
      </c>
      <c r="D95" s="568">
        <v>12</v>
      </c>
      <c r="E95" s="528" t="s">
        <v>81</v>
      </c>
      <c r="F95" s="47"/>
      <c r="G95" s="47"/>
      <c r="I95"/>
      <c r="J95" s="531">
        <f>$F$70</f>
        <v>0.11032660055737779</v>
      </c>
      <c r="K95" s="489"/>
      <c r="L95" s="3" t="str">
        <f>"          INPUT TRUE-UP ARR (WITH &amp; WITHOUT INCENTIVES) FROM EACH PRIOR YEAR"</f>
        <v xml:space="preserve">          INPUT TRUE-UP ARR (WITH &amp; WITHOUT INCENTIVES) FROM EACH PRIOR YEAR</v>
      </c>
    </row>
    <row r="96" spans="1:17">
      <c r="C96" s="528" t="s">
        <v>82</v>
      </c>
      <c r="D96" s="532">
        <f>H$79</f>
        <v>36</v>
      </c>
      <c r="E96" s="528" t="s">
        <v>83</v>
      </c>
      <c r="F96" s="47"/>
      <c r="G96" s="47"/>
      <c r="I96"/>
      <c r="J96" s="531">
        <f>IF(H87="",+J95,$F$69)</f>
        <v>0.11032660055737779</v>
      </c>
      <c r="K96" s="489"/>
      <c r="L96" s="3" t="s">
        <v>165</v>
      </c>
      <c r="M96" s="489"/>
      <c r="N96" s="489"/>
      <c r="O96" s="489"/>
    </row>
    <row r="97" spans="2:16" ht="13.5" thickBot="1">
      <c r="C97" s="528" t="s">
        <v>84</v>
      </c>
      <c r="D97" s="969" t="s">
        <v>812</v>
      </c>
      <c r="E97" s="533" t="s">
        <v>85</v>
      </c>
      <c r="F97" s="534"/>
      <c r="G97" s="534"/>
      <c r="H97" s="535"/>
      <c r="I97" s="535"/>
      <c r="J97" s="521">
        <f>IF(D93=0,0,D93/D96)</f>
        <v>179043.44305555557</v>
      </c>
      <c r="K97" s="503"/>
      <c r="L97" s="503" t="s">
        <v>166</v>
      </c>
      <c r="M97" s="503"/>
      <c r="N97" s="503"/>
      <c r="O97" s="503"/>
    </row>
    <row r="98" spans="2:16" ht="38.25">
      <c r="B98" s="450"/>
      <c r="C98" s="536" t="s">
        <v>75</v>
      </c>
      <c r="D98" s="537" t="s">
        <v>86</v>
      </c>
      <c r="E98" s="538" t="s">
        <v>87</v>
      </c>
      <c r="F98" s="537" t="s">
        <v>88</v>
      </c>
      <c r="G98" s="537" t="s">
        <v>246</v>
      </c>
      <c r="H98" s="538" t="s">
        <v>159</v>
      </c>
      <c r="I98" s="539" t="s">
        <v>159</v>
      </c>
      <c r="J98" s="536" t="s">
        <v>98</v>
      </c>
      <c r="K98" s="540"/>
      <c r="L98" s="538" t="s">
        <v>161</v>
      </c>
      <c r="M98" s="538" t="s">
        <v>167</v>
      </c>
      <c r="N98" s="538" t="s">
        <v>161</v>
      </c>
      <c r="O98" s="538" t="s">
        <v>169</v>
      </c>
      <c r="P98" s="538" t="s">
        <v>89</v>
      </c>
    </row>
    <row r="99" spans="2:16" ht="13.5" thickBot="1">
      <c r="C99" s="542" t="s">
        <v>475</v>
      </c>
      <c r="D99" s="543" t="s">
        <v>476</v>
      </c>
      <c r="E99" s="542" t="s">
        <v>369</v>
      </c>
      <c r="F99" s="543" t="s">
        <v>476</v>
      </c>
      <c r="G99" s="543" t="s">
        <v>476</v>
      </c>
      <c r="H99" s="544" t="s">
        <v>101</v>
      </c>
      <c r="I99" s="545" t="s">
        <v>103</v>
      </c>
      <c r="J99" s="542" t="s">
        <v>15</v>
      </c>
      <c r="K99" s="546"/>
      <c r="L99" s="544" t="s">
        <v>90</v>
      </c>
      <c r="M99" s="544" t="s">
        <v>90</v>
      </c>
      <c r="N99" s="544" t="s">
        <v>263</v>
      </c>
      <c r="O99" s="544" t="s">
        <v>263</v>
      </c>
      <c r="P99" s="544" t="s">
        <v>263</v>
      </c>
    </row>
    <row r="100" spans="2:16">
      <c r="C100" s="548">
        <f>IF(D94= "","-",D94)</f>
        <v>2012</v>
      </c>
      <c r="D100" s="506">
        <f>+D93</f>
        <v>6445563.9500000002</v>
      </c>
      <c r="E100" s="554">
        <f>+J97/12*(12-D95)</f>
        <v>0</v>
      </c>
      <c r="F100" s="601">
        <f t="shared" ref="F100:F159" si="0">+D100-E100</f>
        <v>6445563.9500000002</v>
      </c>
      <c r="G100" s="506">
        <f>+(D100+F100)/2</f>
        <v>6445563.9500000002</v>
      </c>
      <c r="H100" s="550">
        <f>+J95*G100+E100</f>
        <v>711117.15927868418</v>
      </c>
      <c r="I100" s="551">
        <f>+J96*G100+E100</f>
        <v>711117.15927868418</v>
      </c>
      <c r="J100" s="552">
        <f>+I100-H100</f>
        <v>0</v>
      </c>
      <c r="K100" s="552"/>
      <c r="L100" s="571">
        <v>655785.85588061344</v>
      </c>
      <c r="M100" s="602">
        <v>99630</v>
      </c>
      <c r="N100" s="571">
        <v>655785.85588061344</v>
      </c>
      <c r="O100" s="602">
        <v>99630</v>
      </c>
      <c r="P100" s="602">
        <f t="shared" ref="P100:P159" si="1">+O100-M100</f>
        <v>0</v>
      </c>
    </row>
    <row r="101" spans="2:16">
      <c r="C101" s="548">
        <f>IF(D94="","-",+C100+1)</f>
        <v>2013</v>
      </c>
      <c r="D101" s="506">
        <f t="shared" ref="D101:D159" si="2">F100</f>
        <v>6445563.9500000002</v>
      </c>
      <c r="E101" s="549">
        <f>IF(D101&gt;$J$97,$J$97,D101)</f>
        <v>179043.44305555557</v>
      </c>
      <c r="F101" s="549">
        <f t="shared" si="0"/>
        <v>6266520.506944445</v>
      </c>
      <c r="G101" s="506">
        <f t="shared" ref="G101:G159" si="3">+(D101+F101)/2</f>
        <v>6356042.2284722226</v>
      </c>
      <c r="H101" s="554">
        <f>+J95*G101+E101</f>
        <v>880283.97512203583</v>
      </c>
      <c r="I101" s="555">
        <f>+J96*G101+E101</f>
        <v>880283.97512203583</v>
      </c>
      <c r="J101" s="552">
        <f>+I101-H101</f>
        <v>0</v>
      </c>
      <c r="K101" s="552"/>
      <c r="L101" s="572">
        <v>758010</v>
      </c>
      <c r="M101" s="552">
        <v>85590</v>
      </c>
      <c r="N101" s="572">
        <v>758010</v>
      </c>
      <c r="O101" s="552">
        <v>85590</v>
      </c>
      <c r="P101" s="552">
        <f t="shared" si="1"/>
        <v>0</v>
      </c>
    </row>
    <row r="102" spans="2:16">
      <c r="C102" s="548">
        <f>IF(D94="","-",+C101+1)</f>
        <v>2014</v>
      </c>
      <c r="D102" s="506">
        <f t="shared" si="2"/>
        <v>6266520.506944445</v>
      </c>
      <c r="E102" s="549">
        <f t="shared" ref="E102:E159" si="4">IF(D102&gt;$J$97,$J$97,D102)</f>
        <v>179043.44305555557</v>
      </c>
      <c r="F102" s="549">
        <f t="shared" si="0"/>
        <v>6087477.0638888897</v>
      </c>
      <c r="G102" s="506">
        <f t="shared" si="3"/>
        <v>6176998.7854166673</v>
      </c>
      <c r="H102" s="554">
        <f>+J95*G102+E102</f>
        <v>860530.72069762798</v>
      </c>
      <c r="I102" s="555">
        <f>+J96*G102+E102</f>
        <v>860530.72069762798</v>
      </c>
      <c r="J102" s="552">
        <f t="shared" ref="J102:J159" si="5">+I102-H102</f>
        <v>0</v>
      </c>
      <c r="K102" s="552"/>
      <c r="L102" s="572">
        <v>735370</v>
      </c>
      <c r="M102" s="552">
        <v>97252</v>
      </c>
      <c r="N102" s="572">
        <v>735370</v>
      </c>
      <c r="O102" s="552">
        <v>97252</v>
      </c>
      <c r="P102" s="552">
        <f t="shared" si="1"/>
        <v>0</v>
      </c>
    </row>
    <row r="103" spans="2:16">
      <c r="C103" s="548">
        <f>IF(D94="","-",+C102+1)</f>
        <v>2015</v>
      </c>
      <c r="D103" s="506">
        <f t="shared" si="2"/>
        <v>6087477.0638888897</v>
      </c>
      <c r="E103" s="549">
        <f t="shared" si="4"/>
        <v>179043.44305555557</v>
      </c>
      <c r="F103" s="549">
        <f t="shared" si="0"/>
        <v>5908433.6208333345</v>
      </c>
      <c r="G103" s="506">
        <f t="shared" si="3"/>
        <v>5997955.3423611121</v>
      </c>
      <c r="H103" s="554">
        <f>+J95*G103+E103</f>
        <v>840777.46627322014</v>
      </c>
      <c r="I103" s="555">
        <f>+J96*G103+E103</f>
        <v>840777.46627322014</v>
      </c>
      <c r="J103" s="552">
        <f t="shared" si="5"/>
        <v>0</v>
      </c>
      <c r="K103" s="552"/>
      <c r="L103" s="572">
        <v>1351122</v>
      </c>
      <c r="M103" s="552">
        <v>-529479</v>
      </c>
      <c r="N103" s="572">
        <v>1351122</v>
      </c>
      <c r="O103" s="552">
        <v>-529479</v>
      </c>
      <c r="P103" s="552">
        <f t="shared" si="1"/>
        <v>0</v>
      </c>
    </row>
    <row r="104" spans="2:16">
      <c r="C104" s="548">
        <f>IF(D94="","-",+C103+1)</f>
        <v>2016</v>
      </c>
      <c r="D104" s="506">
        <f t="shared" si="2"/>
        <v>5908433.6208333345</v>
      </c>
      <c r="E104" s="549">
        <f t="shared" si="4"/>
        <v>179043.44305555557</v>
      </c>
      <c r="F104" s="549">
        <f t="shared" si="0"/>
        <v>5729390.1777777793</v>
      </c>
      <c r="G104" s="506">
        <f t="shared" si="3"/>
        <v>5818911.8993055569</v>
      </c>
      <c r="H104" s="554">
        <f>+J95*G104+E104</f>
        <v>821024.21184881229</v>
      </c>
      <c r="I104" s="555">
        <f>+J96*G104+E104</f>
        <v>821024.21184881229</v>
      </c>
      <c r="J104" s="552">
        <f t="shared" si="5"/>
        <v>0</v>
      </c>
      <c r="K104" s="552"/>
      <c r="L104" s="572">
        <v>758565</v>
      </c>
      <c r="M104" s="552">
        <f t="shared" ref="M104:M159" si="6">IF(L104&lt;&gt;0,+H104-L104,0)</f>
        <v>62459.211848812294</v>
      </c>
      <c r="N104" s="572">
        <v>758565</v>
      </c>
      <c r="O104" s="552">
        <f t="shared" ref="O104:O159" si="7">IF(N104&lt;&gt;0,+I104-N104,0)</f>
        <v>62459.211848812294</v>
      </c>
      <c r="P104" s="552">
        <f t="shared" si="1"/>
        <v>0</v>
      </c>
    </row>
    <row r="105" spans="2:16">
      <c r="C105" s="548">
        <f>IF(D94="","-",+C104+1)</f>
        <v>2017</v>
      </c>
      <c r="D105" s="506">
        <f t="shared" si="2"/>
        <v>5729390.1777777793</v>
      </c>
      <c r="E105" s="549">
        <f t="shared" si="4"/>
        <v>179043.44305555557</v>
      </c>
      <c r="F105" s="549">
        <f t="shared" si="0"/>
        <v>5550346.7347222241</v>
      </c>
      <c r="G105" s="506">
        <f t="shared" si="3"/>
        <v>5639868.4562500017</v>
      </c>
      <c r="H105" s="554">
        <f>+J95*G105+E105</f>
        <v>801270.95742440445</v>
      </c>
      <c r="I105" s="555">
        <f>+J96*G105+E105</f>
        <v>801270.95742440445</v>
      </c>
      <c r="J105" s="552">
        <f t="shared" si="5"/>
        <v>0</v>
      </c>
      <c r="K105" s="552"/>
      <c r="L105" s="572">
        <v>1860187</v>
      </c>
      <c r="M105" s="552">
        <f t="shared" si="6"/>
        <v>-1058916.0425755954</v>
      </c>
      <c r="N105" s="572">
        <v>1860187</v>
      </c>
      <c r="O105" s="552">
        <f t="shared" si="7"/>
        <v>-1058916.0425755954</v>
      </c>
      <c r="P105" s="552">
        <f t="shared" si="1"/>
        <v>0</v>
      </c>
    </row>
    <row r="106" spans="2:16">
      <c r="C106" s="548">
        <f>IF(D94="","-",+C105+1)</f>
        <v>2018</v>
      </c>
      <c r="D106" s="506">
        <f t="shared" si="2"/>
        <v>5550346.7347222241</v>
      </c>
      <c r="E106" s="549">
        <f t="shared" si="4"/>
        <v>179043.44305555557</v>
      </c>
      <c r="F106" s="549">
        <f t="shared" si="0"/>
        <v>5371303.2916666688</v>
      </c>
      <c r="G106" s="506">
        <f t="shared" si="3"/>
        <v>5460825.0131944465</v>
      </c>
      <c r="H106" s="554">
        <f>+J95*G106+E106</f>
        <v>781517.7029999966</v>
      </c>
      <c r="I106" s="555">
        <f>+J96*G106+E106</f>
        <v>781517.7029999966</v>
      </c>
      <c r="J106" s="552">
        <f t="shared" si="5"/>
        <v>0</v>
      </c>
      <c r="K106" s="552"/>
      <c r="L106" s="572">
        <v>1592956</v>
      </c>
      <c r="M106" s="552">
        <f t="shared" si="6"/>
        <v>-811438.2970000034</v>
      </c>
      <c r="N106" s="572">
        <v>1592956</v>
      </c>
      <c r="O106" s="552">
        <f t="shared" si="7"/>
        <v>-811438.2970000034</v>
      </c>
      <c r="P106" s="552">
        <f t="shared" si="1"/>
        <v>0</v>
      </c>
    </row>
    <row r="107" spans="2:16">
      <c r="C107" s="548">
        <f>IF(D94="","-",+C106+1)</f>
        <v>2019</v>
      </c>
      <c r="D107" s="506">
        <f t="shared" si="2"/>
        <v>5371303.2916666688</v>
      </c>
      <c r="E107" s="549">
        <f t="shared" si="4"/>
        <v>179043.44305555557</v>
      </c>
      <c r="F107" s="549">
        <f t="shared" si="0"/>
        <v>5192259.8486111136</v>
      </c>
      <c r="G107" s="506">
        <f t="shared" si="3"/>
        <v>5281781.5701388912</v>
      </c>
      <c r="H107" s="554">
        <f>+J95*G107+E107</f>
        <v>761764.44857558876</v>
      </c>
      <c r="I107" s="555">
        <f>+J96*G107+E107</f>
        <v>761764.44857558876</v>
      </c>
      <c r="J107" s="552">
        <f t="shared" si="5"/>
        <v>0</v>
      </c>
      <c r="K107" s="552"/>
      <c r="L107" s="572">
        <v>744108</v>
      </c>
      <c r="M107" s="552">
        <f t="shared" si="6"/>
        <v>17656.448575588758</v>
      </c>
      <c r="N107" s="572">
        <v>744108</v>
      </c>
      <c r="O107" s="552">
        <f t="shared" si="7"/>
        <v>17656.448575588758</v>
      </c>
      <c r="P107" s="552">
        <f t="shared" si="1"/>
        <v>0</v>
      </c>
    </row>
    <row r="108" spans="2:16">
      <c r="C108" s="548">
        <f>IF(D94="","-",+C107+1)</f>
        <v>2020</v>
      </c>
      <c r="D108" s="506">
        <f t="shared" si="2"/>
        <v>5192259.8486111136</v>
      </c>
      <c r="E108" s="549">
        <f t="shared" si="4"/>
        <v>179043.44305555557</v>
      </c>
      <c r="F108" s="549">
        <f t="shared" si="0"/>
        <v>5013216.4055555584</v>
      </c>
      <c r="G108" s="506">
        <f t="shared" si="3"/>
        <v>5102738.127083336</v>
      </c>
      <c r="H108" s="554">
        <f>+J95*G108+E108</f>
        <v>742011.19415118091</v>
      </c>
      <c r="I108" s="555">
        <f>+J96*G108+E108</f>
        <v>742011.19415118091</v>
      </c>
      <c r="J108" s="552">
        <f t="shared" si="5"/>
        <v>0</v>
      </c>
      <c r="K108" s="552"/>
      <c r="L108" s="572">
        <v>752419.89785591606</v>
      </c>
      <c r="M108" s="552">
        <f t="shared" si="6"/>
        <v>-10408.703704735148</v>
      </c>
      <c r="N108" s="572">
        <v>752419.89785591606</v>
      </c>
      <c r="O108" s="552">
        <f t="shared" si="7"/>
        <v>-10408.703704735148</v>
      </c>
      <c r="P108" s="552">
        <f t="shared" si="1"/>
        <v>0</v>
      </c>
    </row>
    <row r="109" spans="2:16">
      <c r="C109" s="548">
        <f>IF(D94="","-",+C108+1)</f>
        <v>2021</v>
      </c>
      <c r="D109" s="506">
        <f t="shared" si="2"/>
        <v>5013216.4055555584</v>
      </c>
      <c r="E109" s="549">
        <f t="shared" si="4"/>
        <v>179043.44305555557</v>
      </c>
      <c r="F109" s="549">
        <f t="shared" si="0"/>
        <v>4834172.9625000032</v>
      </c>
      <c r="G109" s="506">
        <f t="shared" si="3"/>
        <v>4923694.6840277808</v>
      </c>
      <c r="H109" s="554">
        <f>+J95*G109+E109</f>
        <v>722257.93972677307</v>
      </c>
      <c r="I109" s="555">
        <f>+J96*G109+E109</f>
        <v>722257.93972677307</v>
      </c>
      <c r="J109" s="552">
        <f t="shared" si="5"/>
        <v>0</v>
      </c>
      <c r="K109" s="552"/>
      <c r="L109" s="572">
        <v>734291.1289593752</v>
      </c>
      <c r="M109" s="552">
        <f t="shared" si="6"/>
        <v>-12033.189232602133</v>
      </c>
      <c r="N109" s="572">
        <v>734291.1289593752</v>
      </c>
      <c r="O109" s="552">
        <f t="shared" si="7"/>
        <v>-12033.189232602133</v>
      </c>
      <c r="P109" s="552">
        <f t="shared" si="1"/>
        <v>0</v>
      </c>
    </row>
    <row r="110" spans="2:16">
      <c r="C110" s="548">
        <f>IF(D94="","-",+C109+1)</f>
        <v>2022</v>
      </c>
      <c r="D110" s="506">
        <f t="shared" si="2"/>
        <v>4834172.9625000032</v>
      </c>
      <c r="E110" s="549">
        <f t="shared" si="4"/>
        <v>179043.44305555557</v>
      </c>
      <c r="F110" s="549">
        <f t="shared" si="0"/>
        <v>4655129.5194444479</v>
      </c>
      <c r="G110" s="506">
        <f t="shared" si="3"/>
        <v>4744651.2409722256</v>
      </c>
      <c r="H110" s="554">
        <f>+J95*G110+E110</f>
        <v>702504.68530236511</v>
      </c>
      <c r="I110" s="555">
        <f>+J96*G110+E110</f>
        <v>702504.68530236511</v>
      </c>
      <c r="J110" s="552">
        <f t="shared" si="5"/>
        <v>0</v>
      </c>
      <c r="K110" s="552"/>
      <c r="L110" s="572">
        <v>742755.11595089233</v>
      </c>
      <c r="M110" s="552">
        <f t="shared" si="6"/>
        <v>-40250.430648527225</v>
      </c>
      <c r="N110" s="572">
        <v>742755.11595089233</v>
      </c>
      <c r="O110" s="552">
        <f t="shared" si="7"/>
        <v>-40250.430648527225</v>
      </c>
      <c r="P110" s="552">
        <f t="shared" si="1"/>
        <v>0</v>
      </c>
    </row>
    <row r="111" spans="2:16">
      <c r="C111" s="548">
        <f>IF(D94="","-",+C110+1)</f>
        <v>2023</v>
      </c>
      <c r="D111" s="506">
        <f t="shared" si="2"/>
        <v>4655129.5194444479</v>
      </c>
      <c r="E111" s="549">
        <f t="shared" si="4"/>
        <v>179043.44305555557</v>
      </c>
      <c r="F111" s="549">
        <f t="shared" si="0"/>
        <v>4476086.0763888927</v>
      </c>
      <c r="G111" s="506">
        <f t="shared" si="3"/>
        <v>4565607.7979166703</v>
      </c>
      <c r="H111" s="554">
        <f>+J95*G111+E111</f>
        <v>682751.43087795726</v>
      </c>
      <c r="I111" s="555">
        <f>+J96*G111+E111</f>
        <v>682751.43087795726</v>
      </c>
      <c r="J111" s="552">
        <f t="shared" si="5"/>
        <v>0</v>
      </c>
      <c r="K111" s="552"/>
      <c r="L111" s="572">
        <v>721927.07366078533</v>
      </c>
      <c r="M111" s="552">
        <f t="shared" si="6"/>
        <v>-39175.642782828072</v>
      </c>
      <c r="N111" s="572">
        <v>721927.07366078533</v>
      </c>
      <c r="O111" s="552">
        <f t="shared" si="7"/>
        <v>-39175.642782828072</v>
      </c>
      <c r="P111" s="552">
        <f t="shared" si="1"/>
        <v>0</v>
      </c>
    </row>
    <row r="112" spans="2:16">
      <c r="C112" s="548">
        <f>IF(D94="","-",+C111+1)</f>
        <v>2024</v>
      </c>
      <c r="D112" s="506">
        <f t="shared" si="2"/>
        <v>4476086.0763888927</v>
      </c>
      <c r="E112" s="549">
        <f t="shared" si="4"/>
        <v>179043.44305555557</v>
      </c>
      <c r="F112" s="549">
        <f t="shared" si="0"/>
        <v>4297042.6333333375</v>
      </c>
      <c r="G112" s="506">
        <f t="shared" si="3"/>
        <v>4386564.3548611151</v>
      </c>
      <c r="H112" s="554">
        <f>+J95*G112+E112</f>
        <v>662998.17645354941</v>
      </c>
      <c r="I112" s="555">
        <f>+J96*G112+E112</f>
        <v>662998.17645354941</v>
      </c>
      <c r="J112" s="552">
        <f t="shared" si="5"/>
        <v>0</v>
      </c>
      <c r="K112" s="552"/>
      <c r="L112" s="572">
        <v>676466.71240790433</v>
      </c>
      <c r="M112" s="552">
        <f t="shared" si="6"/>
        <v>-13468.535954354913</v>
      </c>
      <c r="N112" s="572">
        <v>676466.71240790433</v>
      </c>
      <c r="O112" s="552">
        <f t="shared" si="7"/>
        <v>-13468.535954354913</v>
      </c>
      <c r="P112" s="552">
        <f t="shared" si="1"/>
        <v>0</v>
      </c>
    </row>
    <row r="113" spans="3:16">
      <c r="C113" s="548">
        <f>IF(D94="","-",+C112+1)</f>
        <v>2025</v>
      </c>
      <c r="D113" s="506">
        <f t="shared" si="2"/>
        <v>4297042.6333333375</v>
      </c>
      <c r="E113" s="549">
        <f t="shared" si="4"/>
        <v>179043.44305555557</v>
      </c>
      <c r="F113" s="549">
        <f t="shared" si="0"/>
        <v>4117999.1902777818</v>
      </c>
      <c r="G113" s="506">
        <f t="shared" si="3"/>
        <v>4207520.9118055599</v>
      </c>
      <c r="H113" s="554">
        <f>+J95*G113+E113</f>
        <v>643244.92202914157</v>
      </c>
      <c r="I113" s="555">
        <f>+J96*G113+E113</f>
        <v>643244.92202914157</v>
      </c>
      <c r="J113" s="552">
        <f t="shared" si="5"/>
        <v>0</v>
      </c>
      <c r="K113" s="552"/>
      <c r="L113" s="572">
        <v>662590.49794160854</v>
      </c>
      <c r="M113" s="552">
        <f t="shared" si="6"/>
        <v>-19345.575912466971</v>
      </c>
      <c r="N113" s="572">
        <v>662590.49794160854</v>
      </c>
      <c r="O113" s="552">
        <f t="shared" si="7"/>
        <v>-19345.575912466971</v>
      </c>
      <c r="P113" s="552">
        <f t="shared" si="1"/>
        <v>0</v>
      </c>
    </row>
    <row r="114" spans="3:16">
      <c r="C114" s="548">
        <f>IF(D94="","-",+C113+1)</f>
        <v>2026</v>
      </c>
      <c r="D114" s="506">
        <f t="shared" si="2"/>
        <v>4117999.1902777818</v>
      </c>
      <c r="E114" s="549">
        <f t="shared" si="4"/>
        <v>179043.44305555557</v>
      </c>
      <c r="F114" s="549">
        <f t="shared" si="0"/>
        <v>3938955.7472222261</v>
      </c>
      <c r="G114" s="506">
        <f t="shared" si="3"/>
        <v>4028477.4687500037</v>
      </c>
      <c r="H114" s="554">
        <f>+J95*G114+E114</f>
        <v>623491.66760473361</v>
      </c>
      <c r="I114" s="555">
        <f>+J96*G114+E114</f>
        <v>623491.66760473361</v>
      </c>
      <c r="J114" s="552">
        <f t="shared" si="5"/>
        <v>0</v>
      </c>
      <c r="K114" s="552"/>
      <c r="L114" s="572"/>
      <c r="M114" s="552">
        <f t="shared" si="6"/>
        <v>0</v>
      </c>
      <c r="N114" s="572"/>
      <c r="O114" s="552">
        <f t="shared" si="7"/>
        <v>0</v>
      </c>
      <c r="P114" s="552">
        <f t="shared" si="1"/>
        <v>0</v>
      </c>
    </row>
    <row r="115" spans="3:16">
      <c r="C115" s="548">
        <f>IF(D94="","-",+C114+1)</f>
        <v>2027</v>
      </c>
      <c r="D115" s="506">
        <f t="shared" si="2"/>
        <v>3938955.7472222261</v>
      </c>
      <c r="E115" s="549">
        <f t="shared" si="4"/>
        <v>179043.44305555557</v>
      </c>
      <c r="F115" s="549">
        <f t="shared" si="0"/>
        <v>3759912.3041666704</v>
      </c>
      <c r="G115" s="506">
        <f t="shared" si="3"/>
        <v>3849434.0256944485</v>
      </c>
      <c r="H115" s="554">
        <f>+J95*G115+E115</f>
        <v>603738.41318032576</v>
      </c>
      <c r="I115" s="555">
        <f>+J96*G115+E115</f>
        <v>603738.41318032576</v>
      </c>
      <c r="J115" s="552">
        <f t="shared" si="5"/>
        <v>0</v>
      </c>
      <c r="K115" s="552"/>
      <c r="L115" s="572"/>
      <c r="M115" s="552">
        <f t="shared" si="6"/>
        <v>0</v>
      </c>
      <c r="N115" s="572"/>
      <c r="O115" s="552">
        <f t="shared" si="7"/>
        <v>0</v>
      </c>
      <c r="P115" s="552">
        <f t="shared" si="1"/>
        <v>0</v>
      </c>
    </row>
    <row r="116" spans="3:16">
      <c r="C116" s="548">
        <f>IF(D94="","-",+C115+1)</f>
        <v>2028</v>
      </c>
      <c r="D116" s="506">
        <f t="shared" si="2"/>
        <v>3759912.3041666704</v>
      </c>
      <c r="E116" s="549">
        <f t="shared" si="4"/>
        <v>179043.44305555557</v>
      </c>
      <c r="F116" s="549">
        <f t="shared" si="0"/>
        <v>3580868.8611111147</v>
      </c>
      <c r="G116" s="506">
        <f t="shared" si="3"/>
        <v>3670390.5826388923</v>
      </c>
      <c r="H116" s="554">
        <f>+J95*G116+E116</f>
        <v>583985.1587559178</v>
      </c>
      <c r="I116" s="555">
        <f>+J96*G116+E116</f>
        <v>583985.1587559178</v>
      </c>
      <c r="J116" s="552">
        <f t="shared" si="5"/>
        <v>0</v>
      </c>
      <c r="K116" s="552"/>
      <c r="L116" s="572"/>
      <c r="M116" s="552">
        <f t="shared" si="6"/>
        <v>0</v>
      </c>
      <c r="N116" s="572"/>
      <c r="O116" s="552">
        <f t="shared" si="7"/>
        <v>0</v>
      </c>
      <c r="P116" s="552">
        <f t="shared" si="1"/>
        <v>0</v>
      </c>
    </row>
    <row r="117" spans="3:16">
      <c r="C117" s="548">
        <f>IF(D94="","-",+C116+1)</f>
        <v>2029</v>
      </c>
      <c r="D117" s="506">
        <f t="shared" si="2"/>
        <v>3580868.8611111147</v>
      </c>
      <c r="E117" s="549">
        <f t="shared" si="4"/>
        <v>179043.44305555557</v>
      </c>
      <c r="F117" s="549">
        <f t="shared" si="0"/>
        <v>3401825.418055559</v>
      </c>
      <c r="G117" s="506">
        <f t="shared" si="3"/>
        <v>3491347.1395833371</v>
      </c>
      <c r="H117" s="554">
        <f>+J95*G117+E117</f>
        <v>564231.90433150996</v>
      </c>
      <c r="I117" s="555">
        <f>+J96*G117+E117</f>
        <v>564231.90433150996</v>
      </c>
      <c r="J117" s="552">
        <f t="shared" si="5"/>
        <v>0</v>
      </c>
      <c r="K117" s="552"/>
      <c r="L117" s="572"/>
      <c r="M117" s="552">
        <f t="shared" si="6"/>
        <v>0</v>
      </c>
      <c r="N117" s="572"/>
      <c r="O117" s="552">
        <f t="shared" si="7"/>
        <v>0</v>
      </c>
      <c r="P117" s="552">
        <f t="shared" si="1"/>
        <v>0</v>
      </c>
    </row>
    <row r="118" spans="3:16">
      <c r="C118" s="548">
        <f>IF(D94="","-",+C117+1)</f>
        <v>2030</v>
      </c>
      <c r="D118" s="506">
        <f t="shared" si="2"/>
        <v>3401825.418055559</v>
      </c>
      <c r="E118" s="549">
        <f t="shared" si="4"/>
        <v>179043.44305555557</v>
      </c>
      <c r="F118" s="549">
        <f t="shared" si="0"/>
        <v>3222781.9750000034</v>
      </c>
      <c r="G118" s="506">
        <f t="shared" si="3"/>
        <v>3312303.696527781</v>
      </c>
      <c r="H118" s="554">
        <f>+J95*G118+E118</f>
        <v>544478.64990710199</v>
      </c>
      <c r="I118" s="555">
        <f>+J96*G118+E118</f>
        <v>544478.64990710199</v>
      </c>
      <c r="J118" s="552">
        <f t="shared" si="5"/>
        <v>0</v>
      </c>
      <c r="K118" s="552"/>
      <c r="L118" s="572"/>
      <c r="M118" s="552">
        <f t="shared" si="6"/>
        <v>0</v>
      </c>
      <c r="N118" s="572"/>
      <c r="O118" s="552">
        <f t="shared" si="7"/>
        <v>0</v>
      </c>
      <c r="P118" s="552">
        <f t="shared" si="1"/>
        <v>0</v>
      </c>
    </row>
    <row r="119" spans="3:16">
      <c r="C119" s="548">
        <f>IF(D94="","-",+C118+1)</f>
        <v>2031</v>
      </c>
      <c r="D119" s="506">
        <f t="shared" si="2"/>
        <v>3222781.9750000034</v>
      </c>
      <c r="E119" s="549">
        <f t="shared" si="4"/>
        <v>179043.44305555557</v>
      </c>
      <c r="F119" s="549">
        <f t="shared" si="0"/>
        <v>3043738.5319444477</v>
      </c>
      <c r="G119" s="506">
        <f t="shared" si="3"/>
        <v>3133260.2534722257</v>
      </c>
      <c r="H119" s="554">
        <f>+J95*G119+E119</f>
        <v>524725.39548269415</v>
      </c>
      <c r="I119" s="555">
        <f>+J96*G119+E119</f>
        <v>524725.39548269415</v>
      </c>
      <c r="J119" s="552">
        <f t="shared" si="5"/>
        <v>0</v>
      </c>
      <c r="K119" s="552"/>
      <c r="L119" s="572"/>
      <c r="M119" s="552">
        <f t="shared" si="6"/>
        <v>0</v>
      </c>
      <c r="N119" s="572"/>
      <c r="O119" s="552">
        <f t="shared" si="7"/>
        <v>0</v>
      </c>
      <c r="P119" s="552">
        <f t="shared" si="1"/>
        <v>0</v>
      </c>
    </row>
    <row r="120" spans="3:16">
      <c r="C120" s="548">
        <f>IF(D94="","-",+C119+1)</f>
        <v>2032</v>
      </c>
      <c r="D120" s="506">
        <f t="shared" si="2"/>
        <v>3043738.5319444477</v>
      </c>
      <c r="E120" s="549">
        <f t="shared" si="4"/>
        <v>179043.44305555557</v>
      </c>
      <c r="F120" s="549">
        <f t="shared" si="0"/>
        <v>2864695.088888892</v>
      </c>
      <c r="G120" s="506">
        <f t="shared" si="3"/>
        <v>2954216.8104166696</v>
      </c>
      <c r="H120" s="554">
        <f>+J95*G120+E120</f>
        <v>504972.14105828619</v>
      </c>
      <c r="I120" s="555">
        <f>+J96*G120+E120</f>
        <v>504972.14105828619</v>
      </c>
      <c r="J120" s="552">
        <f t="shared" si="5"/>
        <v>0</v>
      </c>
      <c r="K120" s="552"/>
      <c r="L120" s="572"/>
      <c r="M120" s="552">
        <f t="shared" si="6"/>
        <v>0</v>
      </c>
      <c r="N120" s="572"/>
      <c r="O120" s="552">
        <f t="shared" si="7"/>
        <v>0</v>
      </c>
      <c r="P120" s="552">
        <f t="shared" si="1"/>
        <v>0</v>
      </c>
    </row>
    <row r="121" spans="3:16">
      <c r="C121" s="548">
        <f>IF(D94="","-",+C120+1)</f>
        <v>2033</v>
      </c>
      <c r="D121" s="506">
        <f t="shared" si="2"/>
        <v>2864695.088888892</v>
      </c>
      <c r="E121" s="549">
        <f t="shared" si="4"/>
        <v>179043.44305555557</v>
      </c>
      <c r="F121" s="549">
        <f t="shared" si="0"/>
        <v>2685651.6458333363</v>
      </c>
      <c r="G121" s="506">
        <f t="shared" si="3"/>
        <v>2775173.3673611144</v>
      </c>
      <c r="H121" s="554">
        <f>+J95*G121+E121</f>
        <v>485218.88663387828</v>
      </c>
      <c r="I121" s="555">
        <f>+J96*G121+E121</f>
        <v>485218.88663387828</v>
      </c>
      <c r="J121" s="552">
        <f t="shared" si="5"/>
        <v>0</v>
      </c>
      <c r="K121" s="552"/>
      <c r="L121" s="572"/>
      <c r="M121" s="552">
        <f t="shared" si="6"/>
        <v>0</v>
      </c>
      <c r="N121" s="572"/>
      <c r="O121" s="552">
        <f t="shared" si="7"/>
        <v>0</v>
      </c>
      <c r="P121" s="552">
        <f t="shared" si="1"/>
        <v>0</v>
      </c>
    </row>
    <row r="122" spans="3:16">
      <c r="C122" s="548">
        <f>IF(D94="","-",+C121+1)</f>
        <v>2034</v>
      </c>
      <c r="D122" s="506">
        <f t="shared" si="2"/>
        <v>2685651.6458333363</v>
      </c>
      <c r="E122" s="549">
        <f t="shared" si="4"/>
        <v>179043.44305555557</v>
      </c>
      <c r="F122" s="549">
        <f t="shared" si="0"/>
        <v>2506608.2027777806</v>
      </c>
      <c r="G122" s="506">
        <f t="shared" si="3"/>
        <v>2596129.9243055582</v>
      </c>
      <c r="H122" s="554">
        <f>+J95*G122+E122</f>
        <v>465465.63220947032</v>
      </c>
      <c r="I122" s="555">
        <f>+J96*G122+E122</f>
        <v>465465.63220947032</v>
      </c>
      <c r="J122" s="552">
        <f t="shared" si="5"/>
        <v>0</v>
      </c>
      <c r="K122" s="552"/>
      <c r="L122" s="572"/>
      <c r="M122" s="552">
        <f t="shared" si="6"/>
        <v>0</v>
      </c>
      <c r="N122" s="572"/>
      <c r="O122" s="552">
        <f t="shared" si="7"/>
        <v>0</v>
      </c>
      <c r="P122" s="552">
        <f t="shared" si="1"/>
        <v>0</v>
      </c>
    </row>
    <row r="123" spans="3:16">
      <c r="C123" s="548">
        <f>IF(D94="","-",+C122+1)</f>
        <v>2035</v>
      </c>
      <c r="D123" s="506">
        <f t="shared" si="2"/>
        <v>2506608.2027777806</v>
      </c>
      <c r="E123" s="549">
        <f t="shared" si="4"/>
        <v>179043.44305555557</v>
      </c>
      <c r="F123" s="549">
        <f t="shared" si="0"/>
        <v>2327564.7597222249</v>
      </c>
      <c r="G123" s="506">
        <f t="shared" si="3"/>
        <v>2417086.481250003</v>
      </c>
      <c r="H123" s="554">
        <f>+J95*G123+E123</f>
        <v>445712.37778506248</v>
      </c>
      <c r="I123" s="555">
        <f>+J96*G123+E123</f>
        <v>445712.37778506248</v>
      </c>
      <c r="J123" s="552">
        <f t="shared" si="5"/>
        <v>0</v>
      </c>
      <c r="K123" s="552"/>
      <c r="L123" s="572"/>
      <c r="M123" s="552">
        <f t="shared" si="6"/>
        <v>0</v>
      </c>
      <c r="N123" s="572"/>
      <c r="O123" s="552">
        <f t="shared" si="7"/>
        <v>0</v>
      </c>
      <c r="P123" s="552">
        <f t="shared" si="1"/>
        <v>0</v>
      </c>
    </row>
    <row r="124" spans="3:16">
      <c r="C124" s="548">
        <f>IF(D94="","-",+C123+1)</f>
        <v>2036</v>
      </c>
      <c r="D124" s="506">
        <f t="shared" si="2"/>
        <v>2327564.7597222249</v>
      </c>
      <c r="E124" s="549">
        <f t="shared" si="4"/>
        <v>179043.44305555557</v>
      </c>
      <c r="F124" s="549">
        <f t="shared" si="0"/>
        <v>2148521.3166666692</v>
      </c>
      <c r="G124" s="506">
        <f t="shared" si="3"/>
        <v>2238043.0381944468</v>
      </c>
      <c r="H124" s="554">
        <f>+J95*G124+E124</f>
        <v>425959.12336065451</v>
      </c>
      <c r="I124" s="555">
        <f>+J96*G124+E124</f>
        <v>425959.12336065451</v>
      </c>
      <c r="J124" s="552">
        <f t="shared" si="5"/>
        <v>0</v>
      </c>
      <c r="K124" s="552"/>
      <c r="L124" s="572"/>
      <c r="M124" s="552">
        <f t="shared" si="6"/>
        <v>0</v>
      </c>
      <c r="N124" s="572"/>
      <c r="O124" s="552">
        <f t="shared" si="7"/>
        <v>0</v>
      </c>
      <c r="P124" s="552">
        <f t="shared" si="1"/>
        <v>0</v>
      </c>
    </row>
    <row r="125" spans="3:16">
      <c r="C125" s="548">
        <f>IF(D94="","-",+C124+1)</f>
        <v>2037</v>
      </c>
      <c r="D125" s="506">
        <f t="shared" si="2"/>
        <v>2148521.3166666692</v>
      </c>
      <c r="E125" s="549">
        <f t="shared" si="4"/>
        <v>179043.44305555557</v>
      </c>
      <c r="F125" s="549">
        <f t="shared" si="0"/>
        <v>1969477.8736111135</v>
      </c>
      <c r="G125" s="506">
        <f t="shared" si="3"/>
        <v>2058999.5951388914</v>
      </c>
      <c r="H125" s="554">
        <f>+J95*G125+E125</f>
        <v>406205.86893624661</v>
      </c>
      <c r="I125" s="555">
        <f>+J96*G125+E125</f>
        <v>406205.86893624661</v>
      </c>
      <c r="J125" s="552">
        <f t="shared" si="5"/>
        <v>0</v>
      </c>
      <c r="K125" s="552"/>
      <c r="L125" s="572"/>
      <c r="M125" s="552">
        <f t="shared" si="6"/>
        <v>0</v>
      </c>
      <c r="N125" s="572"/>
      <c r="O125" s="552">
        <f t="shared" si="7"/>
        <v>0</v>
      </c>
      <c r="P125" s="552">
        <f t="shared" si="1"/>
        <v>0</v>
      </c>
    </row>
    <row r="126" spans="3:16">
      <c r="C126" s="548">
        <f>IF(D94="","-",+C125+1)</f>
        <v>2038</v>
      </c>
      <c r="D126" s="506">
        <f t="shared" si="2"/>
        <v>1969477.8736111135</v>
      </c>
      <c r="E126" s="549">
        <f t="shared" si="4"/>
        <v>179043.44305555557</v>
      </c>
      <c r="F126" s="549">
        <f t="shared" si="0"/>
        <v>1790434.4305555578</v>
      </c>
      <c r="G126" s="506">
        <f t="shared" si="3"/>
        <v>1879956.1520833357</v>
      </c>
      <c r="H126" s="554">
        <f>+J95*G126+E126</f>
        <v>386452.61451183876</v>
      </c>
      <c r="I126" s="555">
        <f>+J96*G126+E126</f>
        <v>386452.61451183876</v>
      </c>
      <c r="J126" s="552">
        <f t="shared" si="5"/>
        <v>0</v>
      </c>
      <c r="K126" s="552"/>
      <c r="L126" s="572"/>
      <c r="M126" s="552">
        <f t="shared" si="6"/>
        <v>0</v>
      </c>
      <c r="N126" s="572"/>
      <c r="O126" s="552">
        <f t="shared" si="7"/>
        <v>0</v>
      </c>
      <c r="P126" s="552">
        <f t="shared" si="1"/>
        <v>0</v>
      </c>
    </row>
    <row r="127" spans="3:16">
      <c r="C127" s="548">
        <f>IF(D94="","-",+C126+1)</f>
        <v>2039</v>
      </c>
      <c r="D127" s="506">
        <f t="shared" si="2"/>
        <v>1790434.4305555578</v>
      </c>
      <c r="E127" s="549">
        <f t="shared" si="4"/>
        <v>179043.44305555557</v>
      </c>
      <c r="F127" s="549">
        <f t="shared" si="0"/>
        <v>1611390.9875000021</v>
      </c>
      <c r="G127" s="506">
        <f t="shared" si="3"/>
        <v>1700912.70902778</v>
      </c>
      <c r="H127" s="554">
        <f>+J95*G127+E127</f>
        <v>366699.3600874308</v>
      </c>
      <c r="I127" s="555">
        <f>+J96*G127+E127</f>
        <v>366699.3600874308</v>
      </c>
      <c r="J127" s="552">
        <f t="shared" si="5"/>
        <v>0</v>
      </c>
      <c r="K127" s="552"/>
      <c r="L127" s="572"/>
      <c r="M127" s="552">
        <f t="shared" si="6"/>
        <v>0</v>
      </c>
      <c r="N127" s="572"/>
      <c r="O127" s="552">
        <f t="shared" si="7"/>
        <v>0</v>
      </c>
      <c r="P127" s="552">
        <f t="shared" si="1"/>
        <v>0</v>
      </c>
    </row>
    <row r="128" spans="3:16">
      <c r="C128" s="548">
        <f>IF(D94="","-",+C127+1)</f>
        <v>2040</v>
      </c>
      <c r="D128" s="506">
        <f t="shared" si="2"/>
        <v>1611390.9875000021</v>
      </c>
      <c r="E128" s="549">
        <f t="shared" si="4"/>
        <v>179043.44305555557</v>
      </c>
      <c r="F128" s="549">
        <f t="shared" si="0"/>
        <v>1432347.5444444465</v>
      </c>
      <c r="G128" s="506">
        <f t="shared" si="3"/>
        <v>1521869.2659722243</v>
      </c>
      <c r="H128" s="554">
        <f>+J95*G128+E128</f>
        <v>346946.1056630229</v>
      </c>
      <c r="I128" s="555">
        <f>+J96*G128+E128</f>
        <v>346946.1056630229</v>
      </c>
      <c r="J128" s="552">
        <f t="shared" si="5"/>
        <v>0</v>
      </c>
      <c r="K128" s="552"/>
      <c r="L128" s="572"/>
      <c r="M128" s="552">
        <f t="shared" si="6"/>
        <v>0</v>
      </c>
      <c r="N128" s="572"/>
      <c r="O128" s="552">
        <f t="shared" si="7"/>
        <v>0</v>
      </c>
      <c r="P128" s="552">
        <f t="shared" si="1"/>
        <v>0</v>
      </c>
    </row>
    <row r="129" spans="3:16">
      <c r="C129" s="548">
        <f>IF(D94="","-",+C128+1)</f>
        <v>2041</v>
      </c>
      <c r="D129" s="506">
        <f t="shared" si="2"/>
        <v>1432347.5444444465</v>
      </c>
      <c r="E129" s="549">
        <f t="shared" si="4"/>
        <v>179043.44305555557</v>
      </c>
      <c r="F129" s="549">
        <f t="shared" si="0"/>
        <v>1253304.1013888908</v>
      </c>
      <c r="G129" s="506">
        <f t="shared" si="3"/>
        <v>1342825.8229166686</v>
      </c>
      <c r="H129" s="554">
        <f>+J95*G129+E129</f>
        <v>327192.851238615</v>
      </c>
      <c r="I129" s="555">
        <f>+J96*G129+E129</f>
        <v>327192.851238615</v>
      </c>
      <c r="J129" s="552">
        <f t="shared" si="5"/>
        <v>0</v>
      </c>
      <c r="K129" s="552"/>
      <c r="L129" s="572"/>
      <c r="M129" s="552">
        <f t="shared" si="6"/>
        <v>0</v>
      </c>
      <c r="N129" s="572"/>
      <c r="O129" s="552">
        <f t="shared" si="7"/>
        <v>0</v>
      </c>
      <c r="P129" s="552">
        <f t="shared" si="1"/>
        <v>0</v>
      </c>
    </row>
    <row r="130" spans="3:16">
      <c r="C130" s="548">
        <f>IF(D94="","-",+C129+1)</f>
        <v>2042</v>
      </c>
      <c r="D130" s="506">
        <f t="shared" si="2"/>
        <v>1253304.1013888908</v>
      </c>
      <c r="E130" s="549">
        <f t="shared" si="4"/>
        <v>179043.44305555557</v>
      </c>
      <c r="F130" s="549">
        <f t="shared" si="0"/>
        <v>1074260.6583333351</v>
      </c>
      <c r="G130" s="506">
        <f t="shared" si="3"/>
        <v>1163782.3798611129</v>
      </c>
      <c r="H130" s="554">
        <f>+J95*G130+E130</f>
        <v>307439.59681420709</v>
      </c>
      <c r="I130" s="555">
        <f>+J96*G130+E130</f>
        <v>307439.59681420709</v>
      </c>
      <c r="J130" s="552">
        <f t="shared" si="5"/>
        <v>0</v>
      </c>
      <c r="K130" s="552"/>
      <c r="L130" s="572"/>
      <c r="M130" s="552">
        <f t="shared" si="6"/>
        <v>0</v>
      </c>
      <c r="N130" s="572"/>
      <c r="O130" s="552">
        <f t="shared" si="7"/>
        <v>0</v>
      </c>
      <c r="P130" s="552">
        <f t="shared" si="1"/>
        <v>0</v>
      </c>
    </row>
    <row r="131" spans="3:16">
      <c r="C131" s="548">
        <f>IF(D94="","-",+C130+1)</f>
        <v>2043</v>
      </c>
      <c r="D131" s="506">
        <f t="shared" si="2"/>
        <v>1074260.6583333351</v>
      </c>
      <c r="E131" s="549">
        <f t="shared" si="4"/>
        <v>179043.44305555557</v>
      </c>
      <c r="F131" s="549">
        <f t="shared" si="0"/>
        <v>895217.2152777795</v>
      </c>
      <c r="G131" s="506">
        <f t="shared" si="3"/>
        <v>984738.93680555723</v>
      </c>
      <c r="H131" s="554">
        <f>+J95*G131+E131</f>
        <v>287686.34238979919</v>
      </c>
      <c r="I131" s="555">
        <f>+J96*G131+E131</f>
        <v>287686.34238979919</v>
      </c>
      <c r="J131" s="552">
        <f t="shared" si="5"/>
        <v>0</v>
      </c>
      <c r="K131" s="552"/>
      <c r="L131" s="572"/>
      <c r="M131" s="552">
        <f t="shared" si="6"/>
        <v>0</v>
      </c>
      <c r="N131" s="572"/>
      <c r="O131" s="552">
        <f t="shared" si="7"/>
        <v>0</v>
      </c>
      <c r="P131" s="552">
        <f t="shared" si="1"/>
        <v>0</v>
      </c>
    </row>
    <row r="132" spans="3:16">
      <c r="C132" s="548">
        <f>IF(D94="","-",+C131+1)</f>
        <v>2044</v>
      </c>
      <c r="D132" s="506">
        <f t="shared" si="2"/>
        <v>895217.2152777795</v>
      </c>
      <c r="E132" s="549">
        <f t="shared" si="4"/>
        <v>179043.44305555557</v>
      </c>
      <c r="F132" s="549">
        <f t="shared" si="0"/>
        <v>716173.77222222392</v>
      </c>
      <c r="G132" s="506">
        <f t="shared" si="3"/>
        <v>805695.49375000177</v>
      </c>
      <c r="H132" s="554">
        <f>+J95*G132+E132</f>
        <v>267933.08796539129</v>
      </c>
      <c r="I132" s="555">
        <f>+J96*G132+E132</f>
        <v>267933.08796539129</v>
      </c>
      <c r="J132" s="552">
        <f t="shared" si="5"/>
        <v>0</v>
      </c>
      <c r="K132" s="552"/>
      <c r="L132" s="572"/>
      <c r="M132" s="552">
        <f t="shared" si="6"/>
        <v>0</v>
      </c>
      <c r="N132" s="572"/>
      <c r="O132" s="552">
        <f t="shared" si="7"/>
        <v>0</v>
      </c>
      <c r="P132" s="552">
        <f t="shared" si="1"/>
        <v>0</v>
      </c>
    </row>
    <row r="133" spans="3:16">
      <c r="C133" s="548">
        <f>IF(D94="","-",+C132+1)</f>
        <v>2045</v>
      </c>
      <c r="D133" s="506">
        <f t="shared" si="2"/>
        <v>716173.77222222392</v>
      </c>
      <c r="E133" s="549">
        <f t="shared" si="4"/>
        <v>179043.44305555557</v>
      </c>
      <c r="F133" s="549">
        <f t="shared" si="0"/>
        <v>537130.32916666835</v>
      </c>
      <c r="G133" s="506">
        <f t="shared" si="3"/>
        <v>626652.05069444608</v>
      </c>
      <c r="H133" s="554">
        <f>+J95*G133+E133</f>
        <v>248179.83354098338</v>
      </c>
      <c r="I133" s="555">
        <f>+J96*G133+E133</f>
        <v>248179.83354098338</v>
      </c>
      <c r="J133" s="552">
        <f t="shared" si="5"/>
        <v>0</v>
      </c>
      <c r="K133" s="552"/>
      <c r="L133" s="572"/>
      <c r="M133" s="552">
        <f t="shared" si="6"/>
        <v>0</v>
      </c>
      <c r="N133" s="572"/>
      <c r="O133" s="552">
        <f t="shared" si="7"/>
        <v>0</v>
      </c>
      <c r="P133" s="552">
        <f t="shared" si="1"/>
        <v>0</v>
      </c>
    </row>
    <row r="134" spans="3:16">
      <c r="C134" s="548">
        <f>IF(D94="","-",+C133+1)</f>
        <v>2046</v>
      </c>
      <c r="D134" s="506">
        <f t="shared" si="2"/>
        <v>537130.32916666835</v>
      </c>
      <c r="E134" s="549">
        <f t="shared" si="4"/>
        <v>179043.44305555557</v>
      </c>
      <c r="F134" s="549">
        <f t="shared" si="0"/>
        <v>358086.88611111278</v>
      </c>
      <c r="G134" s="506">
        <f t="shared" si="3"/>
        <v>447608.60763889056</v>
      </c>
      <c r="H134" s="554">
        <f>+J95*G134+E134</f>
        <v>228426.57911657548</v>
      </c>
      <c r="I134" s="555">
        <f>+J96*G134+E134</f>
        <v>228426.57911657548</v>
      </c>
      <c r="J134" s="552">
        <f t="shared" si="5"/>
        <v>0</v>
      </c>
      <c r="K134" s="552"/>
      <c r="L134" s="572"/>
      <c r="M134" s="552">
        <f t="shared" si="6"/>
        <v>0</v>
      </c>
      <c r="N134" s="572"/>
      <c r="O134" s="552">
        <f t="shared" si="7"/>
        <v>0</v>
      </c>
      <c r="P134" s="552">
        <f t="shared" si="1"/>
        <v>0</v>
      </c>
    </row>
    <row r="135" spans="3:16">
      <c r="C135" s="548">
        <f>IF(D94="","-",+C134+1)</f>
        <v>2047</v>
      </c>
      <c r="D135" s="506">
        <f t="shared" si="2"/>
        <v>358086.88611111278</v>
      </c>
      <c r="E135" s="549">
        <f t="shared" si="4"/>
        <v>179043.44305555557</v>
      </c>
      <c r="F135" s="549">
        <f t="shared" si="0"/>
        <v>179043.4430555572</v>
      </c>
      <c r="G135" s="506">
        <f t="shared" si="3"/>
        <v>268565.16458333499</v>
      </c>
      <c r="H135" s="554">
        <f>+J95*G135+E135</f>
        <v>208673.3246921676</v>
      </c>
      <c r="I135" s="555">
        <f>+J96*G135+E135</f>
        <v>208673.3246921676</v>
      </c>
      <c r="J135" s="552">
        <f t="shared" si="5"/>
        <v>0</v>
      </c>
      <c r="K135" s="552"/>
      <c r="L135" s="572"/>
      <c r="M135" s="552">
        <f t="shared" si="6"/>
        <v>0</v>
      </c>
      <c r="N135" s="572"/>
      <c r="O135" s="552">
        <f t="shared" si="7"/>
        <v>0</v>
      </c>
      <c r="P135" s="552">
        <f t="shared" si="1"/>
        <v>0</v>
      </c>
    </row>
    <row r="136" spans="3:16">
      <c r="C136" s="548">
        <f>IF(D94="","-",+C135+1)</f>
        <v>2048</v>
      </c>
      <c r="D136" s="506">
        <f t="shared" si="2"/>
        <v>179043.4430555572</v>
      </c>
      <c r="E136" s="549">
        <f t="shared" si="4"/>
        <v>179043.44305555557</v>
      </c>
      <c r="F136" s="549">
        <f t="shared" si="0"/>
        <v>1.6298145055770874E-9</v>
      </c>
      <c r="G136" s="506">
        <f t="shared" si="3"/>
        <v>89521.721527779417</v>
      </c>
      <c r="H136" s="554">
        <f>+J95*G136+E136</f>
        <v>188920.0702677597</v>
      </c>
      <c r="I136" s="555">
        <f>+J96*G136+E136</f>
        <v>188920.0702677597</v>
      </c>
      <c r="J136" s="552">
        <f t="shared" si="5"/>
        <v>0</v>
      </c>
      <c r="K136" s="552"/>
      <c r="L136" s="572"/>
      <c r="M136" s="552">
        <f t="shared" si="6"/>
        <v>0</v>
      </c>
      <c r="N136" s="572"/>
      <c r="O136" s="552">
        <f t="shared" si="7"/>
        <v>0</v>
      </c>
      <c r="P136" s="552">
        <f t="shared" si="1"/>
        <v>0</v>
      </c>
    </row>
    <row r="137" spans="3:16">
      <c r="C137" s="548">
        <f>IF(D94="","-",+C136+1)</f>
        <v>2049</v>
      </c>
      <c r="D137" s="506">
        <f t="shared" si="2"/>
        <v>1.6298145055770874E-9</v>
      </c>
      <c r="E137" s="549">
        <f t="shared" si="4"/>
        <v>1.6298145055770874E-9</v>
      </c>
      <c r="F137" s="549">
        <f t="shared" si="0"/>
        <v>0</v>
      </c>
      <c r="G137" s="506">
        <f t="shared" si="3"/>
        <v>8.149072527885437E-10</v>
      </c>
      <c r="H137" s="554">
        <f>+J95*G137+E137</f>
        <v>1.7197204525467992E-9</v>
      </c>
      <c r="I137" s="555">
        <f>+J96*G137+E137</f>
        <v>1.7197204525467992E-9</v>
      </c>
      <c r="J137" s="552">
        <f t="shared" si="5"/>
        <v>0</v>
      </c>
      <c r="K137" s="552"/>
      <c r="L137" s="572"/>
      <c r="M137" s="552">
        <f t="shared" si="6"/>
        <v>0</v>
      </c>
      <c r="N137" s="572"/>
      <c r="O137" s="552">
        <f t="shared" si="7"/>
        <v>0</v>
      </c>
      <c r="P137" s="552">
        <f t="shared" si="1"/>
        <v>0</v>
      </c>
    </row>
    <row r="138" spans="3:16">
      <c r="C138" s="548">
        <f>IF(D94="","-",+C137+1)</f>
        <v>2050</v>
      </c>
      <c r="D138" s="506">
        <f t="shared" si="2"/>
        <v>0</v>
      </c>
      <c r="E138" s="549">
        <f t="shared" si="4"/>
        <v>0</v>
      </c>
      <c r="F138" s="549">
        <f t="shared" si="0"/>
        <v>0</v>
      </c>
      <c r="G138" s="506">
        <f t="shared" si="3"/>
        <v>0</v>
      </c>
      <c r="H138" s="554">
        <f>+J95*G138+E138</f>
        <v>0</v>
      </c>
      <c r="I138" s="555">
        <f>+J96*G138+E138</f>
        <v>0</v>
      </c>
      <c r="J138" s="552">
        <f t="shared" si="5"/>
        <v>0</v>
      </c>
      <c r="K138" s="552"/>
      <c r="L138" s="572"/>
      <c r="M138" s="552">
        <f t="shared" si="6"/>
        <v>0</v>
      </c>
      <c r="N138" s="572"/>
      <c r="O138" s="552">
        <f t="shared" si="7"/>
        <v>0</v>
      </c>
      <c r="P138" s="552">
        <f t="shared" si="1"/>
        <v>0</v>
      </c>
    </row>
    <row r="139" spans="3:16">
      <c r="C139" s="548">
        <f>IF(D94="","-",+C138+1)</f>
        <v>2051</v>
      </c>
      <c r="D139" s="506">
        <f t="shared" si="2"/>
        <v>0</v>
      </c>
      <c r="E139" s="549">
        <f t="shared" si="4"/>
        <v>0</v>
      </c>
      <c r="F139" s="549">
        <f t="shared" si="0"/>
        <v>0</v>
      </c>
      <c r="G139" s="506">
        <f t="shared" si="3"/>
        <v>0</v>
      </c>
      <c r="H139" s="554">
        <f>+J95*G139+E139</f>
        <v>0</v>
      </c>
      <c r="I139" s="555">
        <f>+J96*G139+E139</f>
        <v>0</v>
      </c>
      <c r="J139" s="552">
        <f t="shared" si="5"/>
        <v>0</v>
      </c>
      <c r="K139" s="552"/>
      <c r="L139" s="572"/>
      <c r="M139" s="552">
        <f t="shared" si="6"/>
        <v>0</v>
      </c>
      <c r="N139" s="572"/>
      <c r="O139" s="552">
        <f t="shared" si="7"/>
        <v>0</v>
      </c>
      <c r="P139" s="552">
        <f t="shared" si="1"/>
        <v>0</v>
      </c>
    </row>
    <row r="140" spans="3:16">
      <c r="C140" s="548">
        <f>IF(D94="","-",+C139+1)</f>
        <v>2052</v>
      </c>
      <c r="D140" s="506">
        <f t="shared" si="2"/>
        <v>0</v>
      </c>
      <c r="E140" s="549">
        <f t="shared" si="4"/>
        <v>0</v>
      </c>
      <c r="F140" s="549">
        <f t="shared" si="0"/>
        <v>0</v>
      </c>
      <c r="G140" s="506">
        <f t="shared" si="3"/>
        <v>0</v>
      </c>
      <c r="H140" s="554">
        <f>+J95*G140+E140</f>
        <v>0</v>
      </c>
      <c r="I140" s="555">
        <f>+J96*G140+E140</f>
        <v>0</v>
      </c>
      <c r="J140" s="552">
        <f t="shared" si="5"/>
        <v>0</v>
      </c>
      <c r="K140" s="552"/>
      <c r="L140" s="572"/>
      <c r="M140" s="552">
        <f t="shared" si="6"/>
        <v>0</v>
      </c>
      <c r="N140" s="572"/>
      <c r="O140" s="552">
        <f t="shared" si="7"/>
        <v>0</v>
      </c>
      <c r="P140" s="552">
        <f t="shared" si="1"/>
        <v>0</v>
      </c>
    </row>
    <row r="141" spans="3:16">
      <c r="C141" s="548">
        <f>IF(D94="","-",+C140+1)</f>
        <v>2053</v>
      </c>
      <c r="D141" s="506">
        <f t="shared" si="2"/>
        <v>0</v>
      </c>
      <c r="E141" s="549">
        <f t="shared" si="4"/>
        <v>0</v>
      </c>
      <c r="F141" s="549">
        <f t="shared" si="0"/>
        <v>0</v>
      </c>
      <c r="G141" s="506">
        <f t="shared" si="3"/>
        <v>0</v>
      </c>
      <c r="H141" s="554">
        <f>+J95*G141+E141</f>
        <v>0</v>
      </c>
      <c r="I141" s="555">
        <f>+J96*G141+E141</f>
        <v>0</v>
      </c>
      <c r="J141" s="552">
        <f t="shared" si="5"/>
        <v>0</v>
      </c>
      <c r="K141" s="552"/>
      <c r="L141" s="572"/>
      <c r="M141" s="552">
        <f t="shared" si="6"/>
        <v>0</v>
      </c>
      <c r="N141" s="572"/>
      <c r="O141" s="552">
        <f t="shared" si="7"/>
        <v>0</v>
      </c>
      <c r="P141" s="552">
        <f t="shared" si="1"/>
        <v>0</v>
      </c>
    </row>
    <row r="142" spans="3:16">
      <c r="C142" s="548">
        <f>IF(D94="","-",+C141+1)</f>
        <v>2054</v>
      </c>
      <c r="D142" s="506">
        <f t="shared" si="2"/>
        <v>0</v>
      </c>
      <c r="E142" s="549">
        <f t="shared" si="4"/>
        <v>0</v>
      </c>
      <c r="F142" s="549">
        <f t="shared" si="0"/>
        <v>0</v>
      </c>
      <c r="G142" s="506">
        <f t="shared" si="3"/>
        <v>0</v>
      </c>
      <c r="H142" s="554">
        <f>+J95*G142+E142</f>
        <v>0</v>
      </c>
      <c r="I142" s="555">
        <f>+J96*G142+E142</f>
        <v>0</v>
      </c>
      <c r="J142" s="552">
        <f t="shared" si="5"/>
        <v>0</v>
      </c>
      <c r="K142" s="552"/>
      <c r="L142" s="572"/>
      <c r="M142" s="552">
        <f t="shared" si="6"/>
        <v>0</v>
      </c>
      <c r="N142" s="572"/>
      <c r="O142" s="552">
        <f t="shared" si="7"/>
        <v>0</v>
      </c>
      <c r="P142" s="552">
        <f t="shared" si="1"/>
        <v>0</v>
      </c>
    </row>
    <row r="143" spans="3:16">
      <c r="C143" s="548">
        <f>IF(D94="","-",+C142+1)</f>
        <v>2055</v>
      </c>
      <c r="D143" s="506">
        <f t="shared" si="2"/>
        <v>0</v>
      </c>
      <c r="E143" s="549">
        <f t="shared" si="4"/>
        <v>0</v>
      </c>
      <c r="F143" s="549">
        <f t="shared" si="0"/>
        <v>0</v>
      </c>
      <c r="G143" s="506">
        <f t="shared" si="3"/>
        <v>0</v>
      </c>
      <c r="H143" s="554">
        <f>+J95*G143+E143</f>
        <v>0</v>
      </c>
      <c r="I143" s="555">
        <f>+J96*G143+E143</f>
        <v>0</v>
      </c>
      <c r="J143" s="552">
        <f t="shared" si="5"/>
        <v>0</v>
      </c>
      <c r="K143" s="552"/>
      <c r="L143" s="572"/>
      <c r="M143" s="552">
        <f t="shared" si="6"/>
        <v>0</v>
      </c>
      <c r="N143" s="572"/>
      <c r="O143" s="552">
        <f t="shared" si="7"/>
        <v>0</v>
      </c>
      <c r="P143" s="552">
        <f t="shared" si="1"/>
        <v>0</v>
      </c>
    </row>
    <row r="144" spans="3:16">
      <c r="C144" s="548">
        <f>IF(D94="","-",+C143+1)</f>
        <v>2056</v>
      </c>
      <c r="D144" s="506">
        <f t="shared" si="2"/>
        <v>0</v>
      </c>
      <c r="E144" s="549">
        <f t="shared" si="4"/>
        <v>0</v>
      </c>
      <c r="F144" s="549">
        <f t="shared" si="0"/>
        <v>0</v>
      </c>
      <c r="G144" s="506">
        <f t="shared" si="3"/>
        <v>0</v>
      </c>
      <c r="H144" s="554">
        <f>+J95*G144+E144</f>
        <v>0</v>
      </c>
      <c r="I144" s="555">
        <f>+J96*G144+E144</f>
        <v>0</v>
      </c>
      <c r="J144" s="552">
        <f t="shared" si="5"/>
        <v>0</v>
      </c>
      <c r="K144" s="552"/>
      <c r="L144" s="572"/>
      <c r="M144" s="552">
        <f t="shared" si="6"/>
        <v>0</v>
      </c>
      <c r="N144" s="572"/>
      <c r="O144" s="552">
        <f t="shared" si="7"/>
        <v>0</v>
      </c>
      <c r="P144" s="552">
        <f t="shared" si="1"/>
        <v>0</v>
      </c>
    </row>
    <row r="145" spans="3:16">
      <c r="C145" s="548">
        <f>IF(D94="","-",+C144+1)</f>
        <v>2057</v>
      </c>
      <c r="D145" s="506">
        <f t="shared" si="2"/>
        <v>0</v>
      </c>
      <c r="E145" s="549">
        <f t="shared" si="4"/>
        <v>0</v>
      </c>
      <c r="F145" s="549">
        <f t="shared" si="0"/>
        <v>0</v>
      </c>
      <c r="G145" s="506">
        <f t="shared" si="3"/>
        <v>0</v>
      </c>
      <c r="H145" s="554">
        <f>+J95*G145+E145</f>
        <v>0</v>
      </c>
      <c r="I145" s="555">
        <f>+J96*G145+E145</f>
        <v>0</v>
      </c>
      <c r="J145" s="552">
        <f t="shared" si="5"/>
        <v>0</v>
      </c>
      <c r="K145" s="552"/>
      <c r="L145" s="572"/>
      <c r="M145" s="552">
        <f t="shared" si="6"/>
        <v>0</v>
      </c>
      <c r="N145" s="572"/>
      <c r="O145" s="552">
        <f t="shared" si="7"/>
        <v>0</v>
      </c>
      <c r="P145" s="552">
        <f t="shared" si="1"/>
        <v>0</v>
      </c>
    </row>
    <row r="146" spans="3:16">
      <c r="C146" s="548">
        <f>IF(D94="","-",+C145+1)</f>
        <v>2058</v>
      </c>
      <c r="D146" s="506">
        <f t="shared" si="2"/>
        <v>0</v>
      </c>
      <c r="E146" s="549">
        <f t="shared" si="4"/>
        <v>0</v>
      </c>
      <c r="F146" s="549">
        <f t="shared" si="0"/>
        <v>0</v>
      </c>
      <c r="G146" s="506">
        <f t="shared" si="3"/>
        <v>0</v>
      </c>
      <c r="H146" s="554">
        <f>+J95*G146+E146</f>
        <v>0</v>
      </c>
      <c r="I146" s="555">
        <f>+J96*G146+E146</f>
        <v>0</v>
      </c>
      <c r="J146" s="552">
        <f t="shared" si="5"/>
        <v>0</v>
      </c>
      <c r="K146" s="552"/>
      <c r="L146" s="572"/>
      <c r="M146" s="552">
        <f t="shared" si="6"/>
        <v>0</v>
      </c>
      <c r="N146" s="572"/>
      <c r="O146" s="552">
        <f t="shared" si="7"/>
        <v>0</v>
      </c>
      <c r="P146" s="552">
        <f t="shared" si="1"/>
        <v>0</v>
      </c>
    </row>
    <row r="147" spans="3:16">
      <c r="C147" s="548">
        <f>IF(D94="","-",+C146+1)</f>
        <v>2059</v>
      </c>
      <c r="D147" s="506">
        <f t="shared" si="2"/>
        <v>0</v>
      </c>
      <c r="E147" s="549">
        <f t="shared" si="4"/>
        <v>0</v>
      </c>
      <c r="F147" s="549">
        <f t="shared" si="0"/>
        <v>0</v>
      </c>
      <c r="G147" s="506">
        <f t="shared" si="3"/>
        <v>0</v>
      </c>
      <c r="H147" s="554">
        <f>+J95*G147+E147</f>
        <v>0</v>
      </c>
      <c r="I147" s="555">
        <f>+J96*G147+E147</f>
        <v>0</v>
      </c>
      <c r="J147" s="552">
        <f t="shared" si="5"/>
        <v>0</v>
      </c>
      <c r="K147" s="552"/>
      <c r="L147" s="572"/>
      <c r="M147" s="552">
        <f t="shared" si="6"/>
        <v>0</v>
      </c>
      <c r="N147" s="572"/>
      <c r="O147" s="552">
        <f t="shared" si="7"/>
        <v>0</v>
      </c>
      <c r="P147" s="552">
        <f t="shared" si="1"/>
        <v>0</v>
      </c>
    </row>
    <row r="148" spans="3:16">
      <c r="C148" s="548">
        <f>IF(D94="","-",+C147+1)</f>
        <v>2060</v>
      </c>
      <c r="D148" s="506">
        <f t="shared" si="2"/>
        <v>0</v>
      </c>
      <c r="E148" s="549">
        <f t="shared" si="4"/>
        <v>0</v>
      </c>
      <c r="F148" s="549">
        <f t="shared" si="0"/>
        <v>0</v>
      </c>
      <c r="G148" s="506">
        <f t="shared" si="3"/>
        <v>0</v>
      </c>
      <c r="H148" s="554">
        <f>+J95*G148+E148</f>
        <v>0</v>
      </c>
      <c r="I148" s="555">
        <f>+J96*G148+E148</f>
        <v>0</v>
      </c>
      <c r="J148" s="552">
        <f t="shared" si="5"/>
        <v>0</v>
      </c>
      <c r="K148" s="552"/>
      <c r="L148" s="572"/>
      <c r="M148" s="552">
        <f t="shared" si="6"/>
        <v>0</v>
      </c>
      <c r="N148" s="572"/>
      <c r="O148" s="552">
        <f t="shared" si="7"/>
        <v>0</v>
      </c>
      <c r="P148" s="552">
        <f t="shared" si="1"/>
        <v>0</v>
      </c>
    </row>
    <row r="149" spans="3:16">
      <c r="C149" s="548">
        <f>IF(D94="","-",+C148+1)</f>
        <v>2061</v>
      </c>
      <c r="D149" s="506">
        <f t="shared" si="2"/>
        <v>0</v>
      </c>
      <c r="E149" s="549">
        <f t="shared" si="4"/>
        <v>0</v>
      </c>
      <c r="F149" s="549">
        <f t="shared" si="0"/>
        <v>0</v>
      </c>
      <c r="G149" s="506">
        <f t="shared" si="3"/>
        <v>0</v>
      </c>
      <c r="H149" s="554">
        <f>+J95*G149+E149</f>
        <v>0</v>
      </c>
      <c r="I149" s="555">
        <f>+J96*G149+E149</f>
        <v>0</v>
      </c>
      <c r="J149" s="552">
        <f t="shared" si="5"/>
        <v>0</v>
      </c>
      <c r="K149" s="552"/>
      <c r="L149" s="572"/>
      <c r="M149" s="552">
        <f t="shared" si="6"/>
        <v>0</v>
      </c>
      <c r="N149" s="572"/>
      <c r="O149" s="552">
        <f t="shared" si="7"/>
        <v>0</v>
      </c>
      <c r="P149" s="552">
        <f t="shared" si="1"/>
        <v>0</v>
      </c>
    </row>
    <row r="150" spans="3:16">
      <c r="C150" s="548">
        <f>IF(D94="","-",+C149+1)</f>
        <v>2062</v>
      </c>
      <c r="D150" s="506">
        <f t="shared" si="2"/>
        <v>0</v>
      </c>
      <c r="E150" s="549">
        <f t="shared" si="4"/>
        <v>0</v>
      </c>
      <c r="F150" s="549">
        <f t="shared" si="0"/>
        <v>0</v>
      </c>
      <c r="G150" s="506">
        <f t="shared" si="3"/>
        <v>0</v>
      </c>
      <c r="H150" s="554">
        <f>+J95*G150+E150</f>
        <v>0</v>
      </c>
      <c r="I150" s="555">
        <f>+J96*G150+E150</f>
        <v>0</v>
      </c>
      <c r="J150" s="552">
        <f t="shared" si="5"/>
        <v>0</v>
      </c>
      <c r="K150" s="552"/>
      <c r="L150" s="572"/>
      <c r="M150" s="552">
        <f t="shared" si="6"/>
        <v>0</v>
      </c>
      <c r="N150" s="572"/>
      <c r="O150" s="552">
        <f t="shared" si="7"/>
        <v>0</v>
      </c>
      <c r="P150" s="552">
        <f t="shared" si="1"/>
        <v>0</v>
      </c>
    </row>
    <row r="151" spans="3:16">
      <c r="C151" s="548">
        <f>IF(D94="","-",+C150+1)</f>
        <v>2063</v>
      </c>
      <c r="D151" s="506">
        <f t="shared" si="2"/>
        <v>0</v>
      </c>
      <c r="E151" s="549">
        <f t="shared" si="4"/>
        <v>0</v>
      </c>
      <c r="F151" s="549">
        <f t="shared" si="0"/>
        <v>0</v>
      </c>
      <c r="G151" s="506">
        <f t="shared" si="3"/>
        <v>0</v>
      </c>
      <c r="H151" s="554">
        <f>+J95*G151+E151</f>
        <v>0</v>
      </c>
      <c r="I151" s="555">
        <f>+J96*G151+E151</f>
        <v>0</v>
      </c>
      <c r="J151" s="552">
        <f t="shared" si="5"/>
        <v>0</v>
      </c>
      <c r="K151" s="552"/>
      <c r="L151" s="572"/>
      <c r="M151" s="552">
        <f t="shared" si="6"/>
        <v>0</v>
      </c>
      <c r="N151" s="572"/>
      <c r="O151" s="552">
        <f t="shared" si="7"/>
        <v>0</v>
      </c>
      <c r="P151" s="552">
        <f t="shared" si="1"/>
        <v>0</v>
      </c>
    </row>
    <row r="152" spans="3:16">
      <c r="C152" s="548">
        <f>IF(D94="","-",+C151+1)</f>
        <v>2064</v>
      </c>
      <c r="D152" s="506">
        <f t="shared" si="2"/>
        <v>0</v>
      </c>
      <c r="E152" s="549">
        <f t="shared" si="4"/>
        <v>0</v>
      </c>
      <c r="F152" s="549">
        <f t="shared" si="0"/>
        <v>0</v>
      </c>
      <c r="G152" s="506">
        <f t="shared" si="3"/>
        <v>0</v>
      </c>
      <c r="H152" s="554">
        <f>+J95*G152+E152</f>
        <v>0</v>
      </c>
      <c r="I152" s="555">
        <f>+J96*G152+E152</f>
        <v>0</v>
      </c>
      <c r="J152" s="552">
        <f t="shared" si="5"/>
        <v>0</v>
      </c>
      <c r="K152" s="552"/>
      <c r="L152" s="572"/>
      <c r="M152" s="552">
        <f t="shared" si="6"/>
        <v>0</v>
      </c>
      <c r="N152" s="572"/>
      <c r="O152" s="552">
        <f t="shared" si="7"/>
        <v>0</v>
      </c>
      <c r="P152" s="552">
        <f t="shared" si="1"/>
        <v>0</v>
      </c>
    </row>
    <row r="153" spans="3:16">
      <c r="C153" s="548">
        <f>IF(D94="","-",+C152+1)</f>
        <v>2065</v>
      </c>
      <c r="D153" s="506">
        <f t="shared" si="2"/>
        <v>0</v>
      </c>
      <c r="E153" s="549">
        <f t="shared" si="4"/>
        <v>0</v>
      </c>
      <c r="F153" s="549">
        <f t="shared" si="0"/>
        <v>0</v>
      </c>
      <c r="G153" s="506">
        <f t="shared" si="3"/>
        <v>0</v>
      </c>
      <c r="H153" s="554">
        <f>+J95*G153+E153</f>
        <v>0</v>
      </c>
      <c r="I153" s="555">
        <f>+J96*G153+E153</f>
        <v>0</v>
      </c>
      <c r="J153" s="552">
        <f t="shared" si="5"/>
        <v>0</v>
      </c>
      <c r="K153" s="552"/>
      <c r="L153" s="572"/>
      <c r="M153" s="552">
        <f t="shared" si="6"/>
        <v>0</v>
      </c>
      <c r="N153" s="572"/>
      <c r="O153" s="552">
        <f t="shared" si="7"/>
        <v>0</v>
      </c>
      <c r="P153" s="552">
        <f t="shared" si="1"/>
        <v>0</v>
      </c>
    </row>
    <row r="154" spans="3:16">
      <c r="C154" s="548">
        <f>IF(D94="","-",+C153+1)</f>
        <v>2066</v>
      </c>
      <c r="D154" s="506">
        <f>F153</f>
        <v>0</v>
      </c>
      <c r="E154" s="549">
        <f t="shared" si="4"/>
        <v>0</v>
      </c>
      <c r="F154" s="549">
        <f t="shared" si="0"/>
        <v>0</v>
      </c>
      <c r="G154" s="506">
        <f t="shared" si="3"/>
        <v>0</v>
      </c>
      <c r="H154" s="554">
        <f>+J95*G154+E154</f>
        <v>0</v>
      </c>
      <c r="I154" s="555">
        <f>+J96*G154+E154</f>
        <v>0</v>
      </c>
      <c r="J154" s="552">
        <f t="shared" si="5"/>
        <v>0</v>
      </c>
      <c r="K154" s="552"/>
      <c r="L154" s="572"/>
      <c r="M154" s="552">
        <f t="shared" si="6"/>
        <v>0</v>
      </c>
      <c r="N154" s="572"/>
      <c r="O154" s="552">
        <f t="shared" si="7"/>
        <v>0</v>
      </c>
      <c r="P154" s="552">
        <f t="shared" si="1"/>
        <v>0</v>
      </c>
    </row>
    <row r="155" spans="3:16">
      <c r="C155" s="548">
        <f>IF(D94="","-",+C154+1)</f>
        <v>2067</v>
      </c>
      <c r="D155" s="506">
        <f t="shared" si="2"/>
        <v>0</v>
      </c>
      <c r="E155" s="549">
        <f t="shared" si="4"/>
        <v>0</v>
      </c>
      <c r="F155" s="549">
        <f t="shared" si="0"/>
        <v>0</v>
      </c>
      <c r="G155" s="506">
        <f t="shared" si="3"/>
        <v>0</v>
      </c>
      <c r="H155" s="554">
        <f>+J95*G155+E155</f>
        <v>0</v>
      </c>
      <c r="I155" s="555">
        <f>+J96*G155+E155</f>
        <v>0</v>
      </c>
      <c r="J155" s="552">
        <f t="shared" si="5"/>
        <v>0</v>
      </c>
      <c r="K155" s="552"/>
      <c r="L155" s="572"/>
      <c r="M155" s="552">
        <f t="shared" si="6"/>
        <v>0</v>
      </c>
      <c r="N155" s="572"/>
      <c r="O155" s="552">
        <f t="shared" si="7"/>
        <v>0</v>
      </c>
      <c r="P155" s="552">
        <f t="shared" si="1"/>
        <v>0</v>
      </c>
    </row>
    <row r="156" spans="3:16">
      <c r="C156" s="548">
        <f>IF(D94="","-",+C155+1)</f>
        <v>2068</v>
      </c>
      <c r="D156" s="506">
        <f t="shared" si="2"/>
        <v>0</v>
      </c>
      <c r="E156" s="549">
        <f t="shared" si="4"/>
        <v>0</v>
      </c>
      <c r="F156" s="549">
        <f t="shared" si="0"/>
        <v>0</v>
      </c>
      <c r="G156" s="506">
        <f t="shared" si="3"/>
        <v>0</v>
      </c>
      <c r="H156" s="554">
        <f>+J95*G156+E156</f>
        <v>0</v>
      </c>
      <c r="I156" s="555">
        <f>+J96*G156+E156</f>
        <v>0</v>
      </c>
      <c r="J156" s="552">
        <f t="shared" si="5"/>
        <v>0</v>
      </c>
      <c r="K156" s="552"/>
      <c r="L156" s="572"/>
      <c r="M156" s="552">
        <f t="shared" si="6"/>
        <v>0</v>
      </c>
      <c r="N156" s="572"/>
      <c r="O156" s="552">
        <f t="shared" si="7"/>
        <v>0</v>
      </c>
      <c r="P156" s="552">
        <f t="shared" si="1"/>
        <v>0</v>
      </c>
    </row>
    <row r="157" spans="3:16">
      <c r="C157" s="548">
        <f>IF(D94="","-",+C156+1)</f>
        <v>2069</v>
      </c>
      <c r="D157" s="506">
        <f t="shared" si="2"/>
        <v>0</v>
      </c>
      <c r="E157" s="549">
        <f t="shared" si="4"/>
        <v>0</v>
      </c>
      <c r="F157" s="549">
        <f t="shared" si="0"/>
        <v>0</v>
      </c>
      <c r="G157" s="506">
        <f t="shared" si="3"/>
        <v>0</v>
      </c>
      <c r="H157" s="554">
        <f>+J95*G157+E157</f>
        <v>0</v>
      </c>
      <c r="I157" s="555">
        <f>+J96*G157+E157</f>
        <v>0</v>
      </c>
      <c r="J157" s="552">
        <f t="shared" si="5"/>
        <v>0</v>
      </c>
      <c r="K157" s="552"/>
      <c r="L157" s="572"/>
      <c r="M157" s="552">
        <f t="shared" si="6"/>
        <v>0</v>
      </c>
      <c r="N157" s="572"/>
      <c r="O157" s="552">
        <f t="shared" si="7"/>
        <v>0</v>
      </c>
      <c r="P157" s="552">
        <f t="shared" si="1"/>
        <v>0</v>
      </c>
    </row>
    <row r="158" spans="3:16">
      <c r="C158" s="548">
        <f>IF(D94="","-",+C157+1)</f>
        <v>2070</v>
      </c>
      <c r="D158" s="506">
        <f t="shared" si="2"/>
        <v>0</v>
      </c>
      <c r="E158" s="549">
        <f t="shared" si="4"/>
        <v>0</v>
      </c>
      <c r="F158" s="549">
        <f t="shared" si="0"/>
        <v>0</v>
      </c>
      <c r="G158" s="506">
        <f t="shared" si="3"/>
        <v>0</v>
      </c>
      <c r="H158" s="554">
        <f>+J95*G158+E158</f>
        <v>0</v>
      </c>
      <c r="I158" s="555">
        <f>+J96*G158+E158</f>
        <v>0</v>
      </c>
      <c r="J158" s="552">
        <f t="shared" si="5"/>
        <v>0</v>
      </c>
      <c r="K158" s="552"/>
      <c r="L158" s="572"/>
      <c r="M158" s="552">
        <f t="shared" si="6"/>
        <v>0</v>
      </c>
      <c r="N158" s="572"/>
      <c r="O158" s="552">
        <f t="shared" si="7"/>
        <v>0</v>
      </c>
      <c r="P158" s="552">
        <f t="shared" si="1"/>
        <v>0</v>
      </c>
    </row>
    <row r="159" spans="3:16" ht="13.5" thickBot="1">
      <c r="C159" s="558">
        <f>IF(D94="","-",+C158+1)</f>
        <v>2071</v>
      </c>
      <c r="D159" s="559">
        <f t="shared" si="2"/>
        <v>0</v>
      </c>
      <c r="E159" s="560">
        <f t="shared" si="4"/>
        <v>0</v>
      </c>
      <c r="F159" s="560">
        <f t="shared" si="0"/>
        <v>0</v>
      </c>
      <c r="G159" s="559">
        <f t="shared" si="3"/>
        <v>0</v>
      </c>
      <c r="H159" s="561">
        <f>+J95*G159+E159</f>
        <v>0</v>
      </c>
      <c r="I159" s="561">
        <f>+J96*G159+E159</f>
        <v>0</v>
      </c>
      <c r="J159" s="562">
        <f t="shared" si="5"/>
        <v>0</v>
      </c>
      <c r="K159" s="552"/>
      <c r="L159" s="573"/>
      <c r="M159" s="562">
        <f t="shared" si="6"/>
        <v>0</v>
      </c>
      <c r="N159" s="573"/>
      <c r="O159" s="562">
        <f t="shared" si="7"/>
        <v>0</v>
      </c>
      <c r="P159" s="562">
        <f t="shared" si="1"/>
        <v>0</v>
      </c>
    </row>
    <row r="160" spans="3:16">
      <c r="C160" s="506" t="s">
        <v>91</v>
      </c>
      <c r="D160" s="503"/>
      <c r="E160" s="503">
        <f>SUM(E100:E159)</f>
        <v>6445563.9500000002</v>
      </c>
      <c r="F160" s="503"/>
      <c r="G160" s="503"/>
      <c r="H160" s="503">
        <f>SUM(H100:H159)</f>
        <v>19956789.976295017</v>
      </c>
      <c r="I160" s="503">
        <f>SUM(I100:I159)</f>
        <v>19956789.976295017</v>
      </c>
      <c r="J160" s="503">
        <f>SUM(J100:J159)</f>
        <v>0</v>
      </c>
      <c r="K160" s="503"/>
      <c r="L160" s="503"/>
      <c r="M160" s="503"/>
      <c r="N160" s="503"/>
      <c r="O160" s="503"/>
    </row>
    <row r="161" spans="1:17">
      <c r="D161" s="47"/>
      <c r="E161" s="3"/>
      <c r="F161" s="3"/>
      <c r="G161" s="3"/>
      <c r="H161" s="3"/>
      <c r="I161" s="490"/>
      <c r="J161" s="490"/>
      <c r="K161" s="503"/>
      <c r="L161" s="490"/>
      <c r="M161" s="490"/>
      <c r="N161" s="490"/>
      <c r="O161" s="490"/>
    </row>
    <row r="162" spans="1:17">
      <c r="C162" s="3" t="s">
        <v>13</v>
      </c>
      <c r="D162" s="47"/>
      <c r="E162" s="3"/>
      <c r="F162" s="3"/>
      <c r="G162" s="3"/>
      <c r="H162" s="3"/>
      <c r="I162" s="490"/>
      <c r="J162" s="490"/>
      <c r="K162" s="503"/>
      <c r="L162" s="490"/>
      <c r="M162" s="490"/>
      <c r="N162" s="490"/>
      <c r="O162" s="490"/>
    </row>
    <row r="163" spans="1:17">
      <c r="C163" s="3"/>
      <c r="D163" s="47"/>
      <c r="E163" s="3"/>
      <c r="F163" s="3"/>
      <c r="G163" s="3"/>
      <c r="H163" s="3"/>
      <c r="I163" s="490"/>
      <c r="J163" s="490"/>
      <c r="K163" s="503"/>
      <c r="L163" s="490"/>
      <c r="M163" s="490"/>
      <c r="N163" s="490"/>
      <c r="O163" s="490"/>
    </row>
    <row r="164" spans="1:17">
      <c r="C164" s="518" t="s">
        <v>14</v>
      </c>
      <c r="D164" s="506"/>
      <c r="E164" s="506"/>
      <c r="F164" s="506"/>
      <c r="G164" s="506"/>
      <c r="H164" s="503"/>
      <c r="I164" s="503"/>
      <c r="J164" s="564"/>
      <c r="K164" s="564"/>
      <c r="L164" s="564"/>
      <c r="M164" s="564"/>
      <c r="N164" s="564"/>
      <c r="O164" s="564"/>
    </row>
    <row r="165" spans="1:17">
      <c r="C165" s="507" t="s">
        <v>271</v>
      </c>
      <c r="D165" s="506"/>
      <c r="E165" s="506"/>
      <c r="F165" s="506"/>
      <c r="G165" s="506"/>
      <c r="H165" s="503"/>
      <c r="I165" s="503"/>
      <c r="J165" s="564"/>
      <c r="K165" s="564"/>
      <c r="L165" s="564"/>
      <c r="M165" s="564"/>
      <c r="N165" s="564"/>
      <c r="O165" s="564"/>
    </row>
    <row r="166" spans="1:17">
      <c r="C166" s="507" t="s">
        <v>92</v>
      </c>
      <c r="D166" s="506"/>
      <c r="E166" s="506"/>
      <c r="F166" s="506"/>
      <c r="G166" s="506"/>
      <c r="H166" s="503"/>
      <c r="I166" s="503"/>
      <c r="J166" s="564"/>
      <c r="K166" s="564"/>
      <c r="L166" s="564"/>
      <c r="M166" s="564"/>
      <c r="N166" s="564"/>
      <c r="O166" s="564"/>
    </row>
    <row r="167" spans="1:17">
      <c r="C167" s="507"/>
      <c r="D167" s="506"/>
      <c r="E167" s="506"/>
      <c r="F167" s="506"/>
      <c r="G167" s="506"/>
      <c r="H167" s="503"/>
      <c r="I167" s="503"/>
      <c r="J167" s="564"/>
      <c r="K167" s="564"/>
      <c r="L167" s="564"/>
      <c r="M167" s="564"/>
      <c r="N167" s="564"/>
      <c r="O167" s="564"/>
    </row>
    <row r="168" spans="1:17" ht="20.25">
      <c r="A168" s="447" t="str">
        <f>""&amp;A92&amp;" Worksheet K -  ATRR TRUE-UP Calculation for PJM Projects Charged to Benefiting Zones"</f>
        <v xml:space="preserve"> Worksheet K -  ATRR TRUE-UP Calculation for PJM Projects Charged to Benefiting Zones</v>
      </c>
      <c r="B168" s="3"/>
      <c r="C168" s="3"/>
      <c r="D168" s="47"/>
      <c r="E168" s="3"/>
      <c r="F168" s="489"/>
      <c r="G168" s="489"/>
      <c r="H168" s="3"/>
      <c r="I168" s="490"/>
      <c r="L168" s="398"/>
      <c r="M168" s="398"/>
      <c r="N168" s="398"/>
      <c r="O168" s="398" t="str">
        <f>"Page "&amp;SUM(Q$8:Q168)&amp;" of "</f>
        <v xml:space="preserve">Page 2 of </v>
      </c>
      <c r="P168" s="448">
        <f>COUNT(Q$8:Q$56657)</f>
        <v>10</v>
      </c>
      <c r="Q168">
        <v>1</v>
      </c>
    </row>
    <row r="169" spans="1:17">
      <c r="B169" s="3"/>
      <c r="C169" s="3"/>
      <c r="D169" s="47"/>
      <c r="E169" s="3"/>
      <c r="F169" s="3"/>
      <c r="G169" s="3"/>
      <c r="H169" s="3"/>
      <c r="I169" s="490"/>
      <c r="J169" s="3"/>
      <c r="K169" s="3"/>
    </row>
    <row r="170" spans="1:17" ht="18">
      <c r="B170" s="449" t="s">
        <v>472</v>
      </c>
      <c r="C170" s="122" t="s">
        <v>93</v>
      </c>
      <c r="D170" s="47"/>
      <c r="E170" s="3"/>
      <c r="F170" s="3"/>
      <c r="G170" s="3"/>
      <c r="H170" s="3"/>
      <c r="I170" s="490"/>
      <c r="J170" s="490"/>
      <c r="K170" s="503"/>
      <c r="L170" s="490"/>
      <c r="M170" s="490"/>
      <c r="N170" s="490"/>
      <c r="O170" s="490"/>
    </row>
    <row r="171" spans="1:17" ht="18.75">
      <c r="B171" s="449"/>
      <c r="C171" s="6"/>
      <c r="D171" s="47"/>
      <c r="E171" s="3"/>
      <c r="F171" s="3"/>
      <c r="G171" s="3"/>
      <c r="H171" s="3"/>
      <c r="I171" s="490"/>
      <c r="J171" s="490"/>
      <c r="K171" s="503"/>
      <c r="L171" s="490"/>
      <c r="M171" s="490"/>
      <c r="N171" s="490"/>
      <c r="O171" s="490"/>
    </row>
    <row r="172" spans="1:17" ht="18.75">
      <c r="B172" s="449"/>
      <c r="C172" s="6" t="s">
        <v>94</v>
      </c>
      <c r="D172" s="47"/>
      <c r="E172" s="3"/>
      <c r="F172" s="3"/>
      <c r="G172" s="3"/>
      <c r="H172" s="3"/>
      <c r="I172" s="490"/>
      <c r="J172" s="490"/>
      <c r="K172" s="503"/>
      <c r="L172" s="490"/>
      <c r="M172" s="490"/>
      <c r="N172" s="490"/>
      <c r="O172" s="490"/>
    </row>
    <row r="173" spans="1:17" ht="15.75" thickBot="1">
      <c r="C173" s="132"/>
      <c r="D173" s="47"/>
      <c r="E173" s="3"/>
      <c r="F173" s="3"/>
      <c r="G173" s="3"/>
      <c r="H173" s="3"/>
      <c r="I173" s="490"/>
      <c r="J173" s="490"/>
      <c r="K173" s="503"/>
      <c r="L173" s="490"/>
      <c r="M173" s="490"/>
      <c r="N173" s="490"/>
      <c r="O173" s="490"/>
    </row>
    <row r="174" spans="1:17" ht="15.75">
      <c r="C174" s="451" t="s">
        <v>95</v>
      </c>
      <c r="D174" s="47"/>
      <c r="E174" s="3"/>
      <c r="F174" s="3"/>
      <c r="G174" s="3"/>
      <c r="H174" s="566"/>
      <c r="I174" s="3" t="s">
        <v>74</v>
      </c>
      <c r="J174" s="3"/>
      <c r="K174" s="3"/>
      <c r="L174" s="593">
        <f>+J180</f>
        <v>2025</v>
      </c>
      <c r="M174" s="576" t="s">
        <v>52</v>
      </c>
      <c r="N174" s="576" t="s">
        <v>53</v>
      </c>
      <c r="O174" s="577" t="s">
        <v>55</v>
      </c>
    </row>
    <row r="175" spans="1:17" ht="15.75">
      <c r="C175" s="451"/>
      <c r="D175" s="47"/>
      <c r="E175" s="3"/>
      <c r="F175" s="3"/>
      <c r="H175" s="3"/>
      <c r="I175" s="513"/>
      <c r="J175" s="513"/>
      <c r="K175" s="514"/>
      <c r="L175" s="594" t="s">
        <v>243</v>
      </c>
      <c r="M175" s="595">
        <f>VLOOKUP(J180,C187:P246,10)</f>
        <v>1593553.0819934183</v>
      </c>
      <c r="N175" s="595">
        <f>VLOOKUP(J180,C187:P246,12)</f>
        <v>1593553.0819934183</v>
      </c>
      <c r="O175" s="596">
        <f>+N175-M175</f>
        <v>0</v>
      </c>
    </row>
    <row r="176" spans="1:17">
      <c r="C176" s="518" t="s">
        <v>96</v>
      </c>
      <c r="D176" s="1221" t="s">
        <v>814</v>
      </c>
      <c r="E176" s="1222"/>
      <c r="F176" s="1222"/>
      <c r="G176" s="1222"/>
      <c r="H176" s="1222"/>
      <c r="I176" s="1222"/>
      <c r="J176" s="490"/>
      <c r="K176" s="503"/>
      <c r="L176" s="594" t="s">
        <v>244</v>
      </c>
      <c r="M176" s="597">
        <f>VLOOKUP(J180,C187:P246,6)</f>
        <v>1546762.8956476939</v>
      </c>
      <c r="N176" s="597">
        <f>VLOOKUP(J180,C187:P246,7)</f>
        <v>1546762.8956476939</v>
      </c>
      <c r="O176" s="598">
        <f>+N176-M176</f>
        <v>0</v>
      </c>
    </row>
    <row r="177" spans="1:16" ht="13.5" thickBot="1">
      <c r="C177" s="522"/>
      <c r="D177" s="1222"/>
      <c r="E177" s="1222"/>
      <c r="F177" s="1222"/>
      <c r="G177" s="1222"/>
      <c r="H177" s="1222"/>
      <c r="I177" s="1222"/>
      <c r="J177" s="490"/>
      <c r="K177" s="503"/>
      <c r="L177" s="533" t="s">
        <v>245</v>
      </c>
      <c r="M177" s="599">
        <f>+M176-M175</f>
        <v>-46790.186345724389</v>
      </c>
      <c r="N177" s="599">
        <f>+N176-N175</f>
        <v>-46790.186345724389</v>
      </c>
      <c r="O177" s="600">
        <f>+O176-O175</f>
        <v>0</v>
      </c>
    </row>
    <row r="178" spans="1:16" ht="13.5" thickBot="1">
      <c r="C178" s="522"/>
      <c r="D178" s="3"/>
      <c r="E178" s="524"/>
      <c r="F178" s="524"/>
      <c r="G178" s="524"/>
      <c r="H178" s="524"/>
      <c r="I178" s="524"/>
      <c r="J178" s="524"/>
      <c r="K178" s="524"/>
      <c r="L178" s="524"/>
      <c r="M178" s="524"/>
      <c r="N178" s="524"/>
      <c r="O178" s="524"/>
    </row>
    <row r="179" spans="1:16" ht="13.5" thickBot="1">
      <c r="C179" s="525" t="s">
        <v>97</v>
      </c>
      <c r="D179" s="526"/>
      <c r="E179" s="526"/>
      <c r="F179" s="526"/>
      <c r="G179" s="526"/>
      <c r="H179" s="526"/>
      <c r="I179" s="526"/>
      <c r="J179" s="526"/>
    </row>
    <row r="180" spans="1:16" ht="15">
      <c r="A180" s="978"/>
      <c r="C180" s="528" t="s">
        <v>75</v>
      </c>
      <c r="D180" s="568">
        <v>15264783.67</v>
      </c>
      <c r="E180" s="3" t="s">
        <v>76</v>
      </c>
      <c r="H180" s="47"/>
      <c r="I180" s="47"/>
      <c r="J180" s="529">
        <f>$J$93</f>
        <v>2025</v>
      </c>
      <c r="K180" s="70"/>
      <c r="L180" s="1211" t="s">
        <v>77</v>
      </c>
      <c r="M180" s="1211"/>
      <c r="N180" s="1211"/>
      <c r="O180" s="1211"/>
    </row>
    <row r="181" spans="1:16">
      <c r="C181" s="528" t="s">
        <v>78</v>
      </c>
      <c r="D181" s="569">
        <v>2013</v>
      </c>
      <c r="E181" s="528" t="s">
        <v>79</v>
      </c>
      <c r="F181" s="47"/>
      <c r="G181" s="47"/>
      <c r="I181"/>
      <c r="J181" s="570">
        <f>IF(H174="",0,$F$17)</f>
        <v>0</v>
      </c>
      <c r="K181" s="530"/>
      <c r="L181" s="503" t="s">
        <v>285</v>
      </c>
    </row>
    <row r="182" spans="1:16">
      <c r="C182" s="528" t="s">
        <v>80</v>
      </c>
      <c r="D182" s="568">
        <v>6</v>
      </c>
      <c r="E182" s="528" t="s">
        <v>81</v>
      </c>
      <c r="F182" s="47"/>
      <c r="G182" s="47"/>
      <c r="I182"/>
      <c r="J182" s="531">
        <f>$F$70</f>
        <v>0.11032660055737779</v>
      </c>
      <c r="K182" s="489"/>
      <c r="L182" s="3" t="str">
        <f>"          INPUT TRUE-UP ARR (WITH &amp; WITHOUT INCENTIVES) FROM EACH PRIOR YEAR"</f>
        <v xml:space="preserve">          INPUT TRUE-UP ARR (WITH &amp; WITHOUT INCENTIVES) FROM EACH PRIOR YEAR</v>
      </c>
    </row>
    <row r="183" spans="1:16">
      <c r="C183" s="528" t="s">
        <v>82</v>
      </c>
      <c r="D183" s="532">
        <f>H$79</f>
        <v>36</v>
      </c>
      <c r="E183" s="528" t="s">
        <v>83</v>
      </c>
      <c r="F183" s="47"/>
      <c r="G183" s="47"/>
      <c r="I183"/>
      <c r="J183" s="531">
        <f>IF(H174="",+J182,$F$69)</f>
        <v>0.11032660055737779</v>
      </c>
      <c r="K183" s="489"/>
      <c r="L183" s="3" t="s">
        <v>165</v>
      </c>
      <c r="M183" s="489"/>
      <c r="N183" s="489"/>
      <c r="O183" s="489"/>
    </row>
    <row r="184" spans="1:16" ht="13.5" thickBot="1">
      <c r="C184" s="528" t="s">
        <v>84</v>
      </c>
      <c r="D184" s="969" t="s">
        <v>812</v>
      </c>
      <c r="E184" s="533" t="s">
        <v>85</v>
      </c>
      <c r="F184" s="534"/>
      <c r="G184" s="534"/>
      <c r="H184" s="535"/>
      <c r="I184" s="535"/>
      <c r="J184" s="521">
        <f>IF(D180=0,0,D180/D183)</f>
        <v>424021.7686111111</v>
      </c>
      <c r="K184" s="503"/>
      <c r="L184" s="503" t="s">
        <v>166</v>
      </c>
      <c r="M184" s="503"/>
      <c r="N184" s="503"/>
      <c r="O184" s="503"/>
    </row>
    <row r="185" spans="1:16" ht="38.25">
      <c r="B185" s="450"/>
      <c r="C185" s="536" t="s">
        <v>75</v>
      </c>
      <c r="D185" s="537" t="s">
        <v>86</v>
      </c>
      <c r="E185" s="538" t="s">
        <v>87</v>
      </c>
      <c r="F185" s="537" t="s">
        <v>88</v>
      </c>
      <c r="G185" s="537" t="s">
        <v>246</v>
      </c>
      <c r="H185" s="538" t="s">
        <v>159</v>
      </c>
      <c r="I185" s="539" t="s">
        <v>159</v>
      </c>
      <c r="J185" s="536" t="s">
        <v>98</v>
      </c>
      <c r="K185" s="540"/>
      <c r="L185" s="538" t="s">
        <v>161</v>
      </c>
      <c r="M185" s="538" t="s">
        <v>167</v>
      </c>
      <c r="N185" s="538" t="s">
        <v>161</v>
      </c>
      <c r="O185" s="538" t="s">
        <v>169</v>
      </c>
      <c r="P185" s="538" t="s">
        <v>89</v>
      </c>
    </row>
    <row r="186" spans="1:16" ht="13.5" thickBot="1">
      <c r="C186" s="542" t="s">
        <v>475</v>
      </c>
      <c r="D186" s="543" t="s">
        <v>476</v>
      </c>
      <c r="E186" s="542" t="s">
        <v>369</v>
      </c>
      <c r="F186" s="543" t="s">
        <v>476</v>
      </c>
      <c r="G186" s="543" t="s">
        <v>476</v>
      </c>
      <c r="H186" s="544" t="s">
        <v>101</v>
      </c>
      <c r="I186" s="545" t="s">
        <v>103</v>
      </c>
      <c r="J186" s="542" t="s">
        <v>15</v>
      </c>
      <c r="K186" s="546"/>
      <c r="L186" s="544" t="s">
        <v>90</v>
      </c>
      <c r="M186" s="544" t="s">
        <v>90</v>
      </c>
      <c r="N186" s="544" t="s">
        <v>263</v>
      </c>
      <c r="O186" s="544" t="s">
        <v>263</v>
      </c>
      <c r="P186" s="544" t="s">
        <v>263</v>
      </c>
    </row>
    <row r="187" spans="1:16">
      <c r="C187" s="548">
        <f>IF(D181= "","-",D181)</f>
        <v>2013</v>
      </c>
      <c r="D187" s="506">
        <f>+D180</f>
        <v>15264783.67</v>
      </c>
      <c r="E187" s="554">
        <f>+J184/12*(12-D182)</f>
        <v>212010.88430555555</v>
      </c>
      <c r="F187" s="601">
        <f t="shared" ref="F187:F246" si="8">+D187-E187</f>
        <v>15052772.785694445</v>
      </c>
      <c r="G187" s="506">
        <f>+(D187+F187)/2</f>
        <v>15158778.227847222</v>
      </c>
      <c r="H187" s="550">
        <f>+J182*G187+E187</f>
        <v>1884427.3547871313</v>
      </c>
      <c r="I187" s="551">
        <f>+J183*G187+E187</f>
        <v>1884427.3547871313</v>
      </c>
      <c r="J187" s="552">
        <f>+I187-H187</f>
        <v>0</v>
      </c>
      <c r="K187" s="552"/>
      <c r="L187" s="571">
        <v>1578782</v>
      </c>
      <c r="M187" s="602">
        <f t="shared" ref="M187:M246" si="9">IF(L187&lt;&gt;0,+H187-L187,0)</f>
        <v>305645.35478713131</v>
      </c>
      <c r="N187" s="571">
        <v>1578782</v>
      </c>
      <c r="O187" s="602">
        <f t="shared" ref="O187:O246" si="10">IF(N187&lt;&gt;0,+I187-N187,0)</f>
        <v>305645.35478713131</v>
      </c>
      <c r="P187" s="602">
        <f t="shared" ref="P187:P246" si="11">+O187-M187</f>
        <v>0</v>
      </c>
    </row>
    <row r="188" spans="1:16">
      <c r="C188" s="548">
        <f>IF(D181="","-",+C187+1)</f>
        <v>2014</v>
      </c>
      <c r="D188" s="506">
        <f t="shared" ref="D188:D240" si="12">F187</f>
        <v>15052772.785694445</v>
      </c>
      <c r="E188" s="549">
        <f>IF(D188&gt;$J$184,$J$184,D188)</f>
        <v>424021.7686111111</v>
      </c>
      <c r="F188" s="549">
        <f t="shared" si="8"/>
        <v>14628751.017083334</v>
      </c>
      <c r="G188" s="506">
        <f t="shared" ref="G188:G246" si="13">+(D188+F188)/2</f>
        <v>14840761.901388889</v>
      </c>
      <c r="H188" s="554">
        <f>+J182*G188+E188</f>
        <v>2061352.5788727938</v>
      </c>
      <c r="I188" s="555">
        <f>+J183*G188+E188</f>
        <v>2061352.5788727938</v>
      </c>
      <c r="J188" s="552">
        <f>+I188-H188</f>
        <v>0</v>
      </c>
      <c r="K188" s="552"/>
      <c r="L188" s="572">
        <v>1735811</v>
      </c>
      <c r="M188" s="552">
        <f t="shared" si="9"/>
        <v>325541.57887279382</v>
      </c>
      <c r="N188" s="572">
        <v>1735811</v>
      </c>
      <c r="O188" s="552">
        <f t="shared" si="10"/>
        <v>325541.57887279382</v>
      </c>
      <c r="P188" s="552">
        <f t="shared" si="11"/>
        <v>0</v>
      </c>
    </row>
    <row r="189" spans="1:16">
      <c r="C189" s="548">
        <f>IF(D181="","-",+C188+1)</f>
        <v>2015</v>
      </c>
      <c r="D189" s="506">
        <f t="shared" si="12"/>
        <v>14628751.017083334</v>
      </c>
      <c r="E189" s="549">
        <f t="shared" ref="E189:E246" si="14">IF(D189&gt;$J$184,$J$184,D189)</f>
        <v>424021.7686111111</v>
      </c>
      <c r="F189" s="549">
        <f t="shared" si="8"/>
        <v>14204729.248472223</v>
      </c>
      <c r="G189" s="506">
        <f t="shared" si="13"/>
        <v>14416740.132777778</v>
      </c>
      <c r="H189" s="554">
        <f>+J182*G189+E189</f>
        <v>2014571.6985796029</v>
      </c>
      <c r="I189" s="555">
        <f>+J183*G189+E189</f>
        <v>2014571.6985796029</v>
      </c>
      <c r="J189" s="552">
        <f t="shared" ref="J189:J246" si="15">+I189-H189</f>
        <v>0</v>
      </c>
      <c r="K189" s="552"/>
      <c r="L189" s="572">
        <v>1857418</v>
      </c>
      <c r="M189" s="552">
        <f t="shared" si="9"/>
        <v>157153.69857960287</v>
      </c>
      <c r="N189" s="572">
        <v>1857418</v>
      </c>
      <c r="O189" s="552">
        <f t="shared" si="10"/>
        <v>157153.69857960287</v>
      </c>
      <c r="P189" s="552">
        <f t="shared" si="11"/>
        <v>0</v>
      </c>
    </row>
    <row r="190" spans="1:16">
      <c r="C190" s="548">
        <f>IF(D181="","-",+C189+1)</f>
        <v>2016</v>
      </c>
      <c r="D190" s="506">
        <f t="shared" si="12"/>
        <v>14204729.248472223</v>
      </c>
      <c r="E190" s="549">
        <f t="shared" si="14"/>
        <v>424021.7686111111</v>
      </c>
      <c r="F190" s="549">
        <f t="shared" si="8"/>
        <v>13780707.479861112</v>
      </c>
      <c r="G190" s="506">
        <f t="shared" si="13"/>
        <v>13992718.364166668</v>
      </c>
      <c r="H190" s="554">
        <f>+J182*G190+E190</f>
        <v>1967790.8182864119</v>
      </c>
      <c r="I190" s="555">
        <f>+J183*G190+E190</f>
        <v>1967790.8182864119</v>
      </c>
      <c r="J190" s="552">
        <f t="shared" si="15"/>
        <v>0</v>
      </c>
      <c r="K190" s="552"/>
      <c r="L190" s="572">
        <v>1808629</v>
      </c>
      <c r="M190" s="552">
        <f t="shared" si="9"/>
        <v>159161.81828641193</v>
      </c>
      <c r="N190" s="572">
        <v>1808629</v>
      </c>
      <c r="O190" s="552">
        <f t="shared" si="10"/>
        <v>159161.81828641193</v>
      </c>
      <c r="P190" s="552">
        <f t="shared" si="11"/>
        <v>0</v>
      </c>
    </row>
    <row r="191" spans="1:16">
      <c r="C191" s="548">
        <f>IF(D181="","-",+C190+1)</f>
        <v>2017</v>
      </c>
      <c r="D191" s="506">
        <f t="shared" si="12"/>
        <v>13780707.479861112</v>
      </c>
      <c r="E191" s="549">
        <f t="shared" si="14"/>
        <v>424021.7686111111</v>
      </c>
      <c r="F191" s="549">
        <f t="shared" si="8"/>
        <v>13356685.711250002</v>
      </c>
      <c r="G191" s="506">
        <f t="shared" si="13"/>
        <v>13568696.595555557</v>
      </c>
      <c r="H191" s="554">
        <f>+J182*G191+E191</f>
        <v>1921009.937993221</v>
      </c>
      <c r="I191" s="555">
        <f>+J183*G191+E191</f>
        <v>1921009.937993221</v>
      </c>
      <c r="J191" s="552">
        <f t="shared" si="15"/>
        <v>0</v>
      </c>
      <c r="K191" s="552"/>
      <c r="L191" s="572">
        <v>1924179</v>
      </c>
      <c r="M191" s="552">
        <f t="shared" si="9"/>
        <v>-3169.0620067790151</v>
      </c>
      <c r="N191" s="572">
        <v>1924179</v>
      </c>
      <c r="O191" s="552">
        <f t="shared" si="10"/>
        <v>-3169.0620067790151</v>
      </c>
      <c r="P191" s="552">
        <f t="shared" si="11"/>
        <v>0</v>
      </c>
    </row>
    <row r="192" spans="1:16">
      <c r="C192" s="548">
        <f>IF(D181="","-",+C191+1)</f>
        <v>2018</v>
      </c>
      <c r="D192" s="506">
        <f t="shared" si="12"/>
        <v>13356685.711250002</v>
      </c>
      <c r="E192" s="549">
        <f t="shared" si="14"/>
        <v>424021.7686111111</v>
      </c>
      <c r="F192" s="549">
        <f t="shared" si="8"/>
        <v>12932663.942638891</v>
      </c>
      <c r="G192" s="506">
        <f t="shared" si="13"/>
        <v>13144674.826944446</v>
      </c>
      <c r="H192" s="554">
        <f>+J182*G192+E192</f>
        <v>1874229.05770003</v>
      </c>
      <c r="I192" s="555">
        <f>+J183*G192+E192</f>
        <v>1874229.05770003</v>
      </c>
      <c r="J192" s="552">
        <f t="shared" si="15"/>
        <v>0</v>
      </c>
      <c r="K192" s="552"/>
      <c r="L192" s="572">
        <v>1648242</v>
      </c>
      <c r="M192" s="552">
        <f t="shared" si="9"/>
        <v>225987.05770003004</v>
      </c>
      <c r="N192" s="572">
        <v>1648242</v>
      </c>
      <c r="O192" s="552">
        <f t="shared" si="10"/>
        <v>225987.05770003004</v>
      </c>
      <c r="P192" s="552">
        <f t="shared" si="11"/>
        <v>0</v>
      </c>
    </row>
    <row r="193" spans="3:16">
      <c r="C193" s="548">
        <f>IF(D181="","-",+C192+1)</f>
        <v>2019</v>
      </c>
      <c r="D193" s="970">
        <f t="shared" si="12"/>
        <v>12932663.942638891</v>
      </c>
      <c r="E193" s="549">
        <f t="shared" si="14"/>
        <v>424021.7686111111</v>
      </c>
      <c r="F193" s="549">
        <f t="shared" si="8"/>
        <v>12508642.17402778</v>
      </c>
      <c r="G193" s="506">
        <f t="shared" si="13"/>
        <v>12720653.058333335</v>
      </c>
      <c r="H193" s="554">
        <f>+J182*G193+E193</f>
        <v>1827448.1774068391</v>
      </c>
      <c r="I193" s="555">
        <f>+J183*G193+E193</f>
        <v>1827448.1774068391</v>
      </c>
      <c r="J193" s="552">
        <f t="shared" si="15"/>
        <v>0</v>
      </c>
      <c r="K193" s="552"/>
      <c r="L193" s="572">
        <v>1728141</v>
      </c>
      <c r="M193" s="552">
        <f t="shared" si="9"/>
        <v>99307.177406839095</v>
      </c>
      <c r="N193" s="572">
        <v>1728141</v>
      </c>
      <c r="O193" s="552">
        <f t="shared" si="10"/>
        <v>99307.177406839095</v>
      </c>
      <c r="P193" s="552">
        <f t="shared" si="11"/>
        <v>0</v>
      </c>
    </row>
    <row r="194" spans="3:16">
      <c r="C194" s="548">
        <f>IF(D181="","-",+C193+1)</f>
        <v>2020</v>
      </c>
      <c r="D194" s="506">
        <f t="shared" si="12"/>
        <v>12508642.17402778</v>
      </c>
      <c r="E194" s="549">
        <f t="shared" si="14"/>
        <v>424021.7686111111</v>
      </c>
      <c r="F194" s="549">
        <f t="shared" si="8"/>
        <v>12084620.405416669</v>
      </c>
      <c r="G194" s="506">
        <f t="shared" si="13"/>
        <v>12296631.289722225</v>
      </c>
      <c r="H194" s="554">
        <f>+J182*G194+E194</f>
        <v>1780667.2971136482</v>
      </c>
      <c r="I194" s="555">
        <f>+J183*G194+E194</f>
        <v>1780667.2971136482</v>
      </c>
      <c r="J194" s="552">
        <f t="shared" si="15"/>
        <v>0</v>
      </c>
      <c r="K194" s="552"/>
      <c r="L194" s="572">
        <v>1748229.4747008712</v>
      </c>
      <c r="M194" s="552">
        <f t="shared" si="9"/>
        <v>32437.822412776994</v>
      </c>
      <c r="N194" s="572">
        <v>1748229.4747008712</v>
      </c>
      <c r="O194" s="552">
        <f t="shared" si="10"/>
        <v>32437.822412776994</v>
      </c>
      <c r="P194" s="552">
        <f t="shared" si="11"/>
        <v>0</v>
      </c>
    </row>
    <row r="195" spans="3:16">
      <c r="C195" s="548">
        <f>IF(D181="","-",+C194+1)</f>
        <v>2021</v>
      </c>
      <c r="D195" s="506">
        <f t="shared" si="12"/>
        <v>12084620.405416669</v>
      </c>
      <c r="E195" s="549">
        <f t="shared" si="14"/>
        <v>424021.7686111111</v>
      </c>
      <c r="F195" s="549">
        <f t="shared" si="8"/>
        <v>11660598.636805559</v>
      </c>
      <c r="G195" s="506">
        <f t="shared" si="13"/>
        <v>11872609.521111114</v>
      </c>
      <c r="H195" s="554">
        <f>+J182*G195+E195</f>
        <v>1733886.4168204572</v>
      </c>
      <c r="I195" s="555">
        <f>+J183*G195+E195</f>
        <v>1733886.4168204572</v>
      </c>
      <c r="J195" s="552">
        <f t="shared" si="15"/>
        <v>0</v>
      </c>
      <c r="K195" s="552"/>
      <c r="L195" s="572">
        <v>1710359.8007120532</v>
      </c>
      <c r="M195" s="552">
        <f t="shared" si="9"/>
        <v>23526.616108404007</v>
      </c>
      <c r="N195" s="572">
        <v>1710359.8007120532</v>
      </c>
      <c r="O195" s="552">
        <f t="shared" si="10"/>
        <v>23526.616108404007</v>
      </c>
      <c r="P195" s="552">
        <f t="shared" si="11"/>
        <v>0</v>
      </c>
    </row>
    <row r="196" spans="3:16">
      <c r="C196" s="548">
        <f>IF(D181="","-",+C195+1)</f>
        <v>2022</v>
      </c>
      <c r="D196" s="506">
        <f t="shared" si="12"/>
        <v>11660598.636805559</v>
      </c>
      <c r="E196" s="549">
        <f t="shared" si="14"/>
        <v>424021.7686111111</v>
      </c>
      <c r="F196" s="549">
        <f t="shared" si="8"/>
        <v>11236576.868194448</v>
      </c>
      <c r="G196" s="506">
        <f t="shared" si="13"/>
        <v>11448587.752500003</v>
      </c>
      <c r="H196" s="554">
        <f>+J182*G196+E196</f>
        <v>1687105.5365272667</v>
      </c>
      <c r="I196" s="555">
        <f>+J183*G196+E196</f>
        <v>1687105.5365272667</v>
      </c>
      <c r="J196" s="552">
        <f t="shared" si="15"/>
        <v>0</v>
      </c>
      <c r="K196" s="552"/>
      <c r="L196" s="572">
        <v>1732119.5321513379</v>
      </c>
      <c r="M196" s="552">
        <f t="shared" si="9"/>
        <v>-45013.99562407122</v>
      </c>
      <c r="N196" s="572">
        <v>1732119.5321513379</v>
      </c>
      <c r="O196" s="552">
        <f t="shared" si="10"/>
        <v>-45013.99562407122</v>
      </c>
      <c r="P196" s="552">
        <f t="shared" si="11"/>
        <v>0</v>
      </c>
    </row>
    <row r="197" spans="3:16">
      <c r="C197" s="548">
        <f>IF(D181="","-",+C196+1)</f>
        <v>2023</v>
      </c>
      <c r="D197" s="506">
        <f t="shared" si="12"/>
        <v>11236576.868194448</v>
      </c>
      <c r="E197" s="549">
        <f t="shared" si="14"/>
        <v>424021.7686111111</v>
      </c>
      <c r="F197" s="549">
        <f t="shared" si="8"/>
        <v>10812555.099583337</v>
      </c>
      <c r="G197" s="506">
        <f t="shared" si="13"/>
        <v>11024565.983888892</v>
      </c>
      <c r="H197" s="554">
        <f>+J182*G197+E197</f>
        <v>1640324.6562340758</v>
      </c>
      <c r="I197" s="555">
        <f>+J183*G197+E197</f>
        <v>1640324.6562340758</v>
      </c>
      <c r="J197" s="552">
        <f t="shared" si="15"/>
        <v>0</v>
      </c>
      <c r="K197" s="552"/>
      <c r="L197" s="572">
        <v>1684193.9974422143</v>
      </c>
      <c r="M197" s="552">
        <f t="shared" si="9"/>
        <v>-43869.341208138503</v>
      </c>
      <c r="N197" s="572">
        <v>1684193.9974422143</v>
      </c>
      <c r="O197" s="552">
        <f t="shared" si="10"/>
        <v>-43869.341208138503</v>
      </c>
      <c r="P197" s="552">
        <f t="shared" si="11"/>
        <v>0</v>
      </c>
    </row>
    <row r="198" spans="3:16">
      <c r="C198" s="548">
        <f>IF(D181="","-",+C197+1)</f>
        <v>2024</v>
      </c>
      <c r="D198" s="506">
        <f t="shared" si="12"/>
        <v>10812555.099583337</v>
      </c>
      <c r="E198" s="549">
        <f t="shared" si="14"/>
        <v>424021.7686111111</v>
      </c>
      <c r="F198" s="549">
        <f t="shared" si="8"/>
        <v>10388533.330972226</v>
      </c>
      <c r="G198" s="506">
        <f t="shared" si="13"/>
        <v>10600544.215277782</v>
      </c>
      <c r="H198" s="554">
        <f>+J182*G198+E198</f>
        <v>1593543.7759408848</v>
      </c>
      <c r="I198" s="555">
        <f>+J183*G198+E198</f>
        <v>1593543.7759408848</v>
      </c>
      <c r="J198" s="552">
        <f t="shared" si="15"/>
        <v>0</v>
      </c>
      <c r="K198" s="552"/>
      <c r="L198" s="572">
        <v>1626091.7563987519</v>
      </c>
      <c r="M198" s="552">
        <f t="shared" si="9"/>
        <v>-32547.98045786703</v>
      </c>
      <c r="N198" s="572">
        <v>1626091.7563987519</v>
      </c>
      <c r="O198" s="552">
        <f t="shared" si="10"/>
        <v>-32547.98045786703</v>
      </c>
      <c r="P198" s="552">
        <f t="shared" si="11"/>
        <v>0</v>
      </c>
    </row>
    <row r="199" spans="3:16">
      <c r="C199" s="548">
        <f>IF(D181="","-",+C198+1)</f>
        <v>2025</v>
      </c>
      <c r="D199" s="506">
        <f t="shared" si="12"/>
        <v>10388533.330972226</v>
      </c>
      <c r="E199" s="549">
        <f t="shared" si="14"/>
        <v>424021.7686111111</v>
      </c>
      <c r="F199" s="549">
        <f t="shared" si="8"/>
        <v>9964511.5623611156</v>
      </c>
      <c r="G199" s="506">
        <f t="shared" si="13"/>
        <v>10176522.446666671</v>
      </c>
      <c r="H199" s="554">
        <f>+J182*G199+E199</f>
        <v>1546762.8956476939</v>
      </c>
      <c r="I199" s="555">
        <f>+J183*G199+E199</f>
        <v>1546762.8956476939</v>
      </c>
      <c r="J199" s="552">
        <f t="shared" si="15"/>
        <v>0</v>
      </c>
      <c r="K199" s="552"/>
      <c r="L199" s="572">
        <v>1593553.0819934183</v>
      </c>
      <c r="M199" s="552">
        <f t="shared" si="9"/>
        <v>-46790.186345724389</v>
      </c>
      <c r="N199" s="572">
        <v>1593553.0819934183</v>
      </c>
      <c r="O199" s="552">
        <f t="shared" si="10"/>
        <v>-46790.186345724389</v>
      </c>
      <c r="P199" s="552">
        <f t="shared" si="11"/>
        <v>0</v>
      </c>
    </row>
    <row r="200" spans="3:16">
      <c r="C200" s="548">
        <f>IF(D181="","-",+C199+1)</f>
        <v>2026</v>
      </c>
      <c r="D200" s="506">
        <f t="shared" si="12"/>
        <v>9964511.5623611156</v>
      </c>
      <c r="E200" s="549">
        <f t="shared" si="14"/>
        <v>424021.7686111111</v>
      </c>
      <c r="F200" s="549">
        <f t="shared" si="8"/>
        <v>9540489.7937500048</v>
      </c>
      <c r="G200" s="506">
        <f t="shared" si="13"/>
        <v>9752500.6780555602</v>
      </c>
      <c r="H200" s="554">
        <f>+J182*G200+E200</f>
        <v>1499982.0153545029</v>
      </c>
      <c r="I200" s="555">
        <f>+J183*G200+E200</f>
        <v>1499982.0153545029</v>
      </c>
      <c r="J200" s="552">
        <f t="shared" si="15"/>
        <v>0</v>
      </c>
      <c r="K200" s="552"/>
      <c r="L200" s="572"/>
      <c r="M200" s="552">
        <f t="shared" si="9"/>
        <v>0</v>
      </c>
      <c r="N200" s="572"/>
      <c r="O200" s="552">
        <f t="shared" si="10"/>
        <v>0</v>
      </c>
      <c r="P200" s="552">
        <f t="shared" si="11"/>
        <v>0</v>
      </c>
    </row>
    <row r="201" spans="3:16">
      <c r="C201" s="548">
        <f>IF(D181="","-",+C200+1)</f>
        <v>2027</v>
      </c>
      <c r="D201" s="506">
        <f t="shared" si="12"/>
        <v>9540489.7937500048</v>
      </c>
      <c r="E201" s="549">
        <f t="shared" si="14"/>
        <v>424021.7686111111</v>
      </c>
      <c r="F201" s="549">
        <f t="shared" si="8"/>
        <v>9116468.0251388941</v>
      </c>
      <c r="G201" s="506">
        <f t="shared" si="13"/>
        <v>9328478.9094444495</v>
      </c>
      <c r="H201" s="554">
        <f>+J182*G201+E201</f>
        <v>1453201.135061312</v>
      </c>
      <c r="I201" s="555">
        <f>+J183*G201+E201</f>
        <v>1453201.135061312</v>
      </c>
      <c r="J201" s="552">
        <f t="shared" si="15"/>
        <v>0</v>
      </c>
      <c r="K201" s="552"/>
      <c r="L201" s="572"/>
      <c r="M201" s="552">
        <f t="shared" si="9"/>
        <v>0</v>
      </c>
      <c r="N201" s="572"/>
      <c r="O201" s="552">
        <f t="shared" si="10"/>
        <v>0</v>
      </c>
      <c r="P201" s="552">
        <f t="shared" si="11"/>
        <v>0</v>
      </c>
    </row>
    <row r="202" spans="3:16">
      <c r="C202" s="548">
        <f>IF(D181="","-",+C201+1)</f>
        <v>2028</v>
      </c>
      <c r="D202" s="506">
        <f t="shared" si="12"/>
        <v>9116468.0251388941</v>
      </c>
      <c r="E202" s="549">
        <f t="shared" si="14"/>
        <v>424021.7686111111</v>
      </c>
      <c r="F202" s="549">
        <f t="shared" si="8"/>
        <v>8692446.2565277833</v>
      </c>
      <c r="G202" s="506">
        <f t="shared" si="13"/>
        <v>8904457.1408333387</v>
      </c>
      <c r="H202" s="554">
        <f>+J182*G202+E202</f>
        <v>1406420.2547681211</v>
      </c>
      <c r="I202" s="555">
        <f>+J183*G202+E202</f>
        <v>1406420.2547681211</v>
      </c>
      <c r="J202" s="552">
        <f t="shared" si="15"/>
        <v>0</v>
      </c>
      <c r="K202" s="552"/>
      <c r="L202" s="572"/>
      <c r="M202" s="552">
        <f t="shared" si="9"/>
        <v>0</v>
      </c>
      <c r="N202" s="572"/>
      <c r="O202" s="552">
        <f t="shared" si="10"/>
        <v>0</v>
      </c>
      <c r="P202" s="552">
        <f t="shared" si="11"/>
        <v>0</v>
      </c>
    </row>
    <row r="203" spans="3:16">
      <c r="C203" s="548">
        <f>IF(D181="","-",+C202+1)</f>
        <v>2029</v>
      </c>
      <c r="D203" s="506">
        <f t="shared" si="12"/>
        <v>8692446.2565277833</v>
      </c>
      <c r="E203" s="549">
        <f t="shared" si="14"/>
        <v>424021.7686111111</v>
      </c>
      <c r="F203" s="549">
        <f t="shared" si="8"/>
        <v>8268424.4879166726</v>
      </c>
      <c r="G203" s="506">
        <f t="shared" si="13"/>
        <v>8480435.372222228</v>
      </c>
      <c r="H203" s="554">
        <f>+J182*G203+E203</f>
        <v>1359639.3744749303</v>
      </c>
      <c r="I203" s="555">
        <f>+J183*G203+E203</f>
        <v>1359639.3744749303</v>
      </c>
      <c r="J203" s="552">
        <f t="shared" si="15"/>
        <v>0</v>
      </c>
      <c r="K203" s="552"/>
      <c r="L203" s="572"/>
      <c r="M203" s="552">
        <f t="shared" si="9"/>
        <v>0</v>
      </c>
      <c r="N203" s="572"/>
      <c r="O203" s="552">
        <f t="shared" si="10"/>
        <v>0</v>
      </c>
      <c r="P203" s="552">
        <f t="shared" si="11"/>
        <v>0</v>
      </c>
    </row>
    <row r="204" spans="3:16">
      <c r="C204" s="548">
        <f>IF(D181="","-",+C203+1)</f>
        <v>2030</v>
      </c>
      <c r="D204" s="506">
        <f t="shared" si="12"/>
        <v>8268424.4879166726</v>
      </c>
      <c r="E204" s="549">
        <f t="shared" si="14"/>
        <v>424021.7686111111</v>
      </c>
      <c r="F204" s="549">
        <f t="shared" si="8"/>
        <v>7844402.7193055619</v>
      </c>
      <c r="G204" s="506">
        <f t="shared" si="13"/>
        <v>8056413.6036111172</v>
      </c>
      <c r="H204" s="554">
        <f>+J182*G204+E204</f>
        <v>1312858.4941817394</v>
      </c>
      <c r="I204" s="555">
        <f>+J183*G204+E204</f>
        <v>1312858.4941817394</v>
      </c>
      <c r="J204" s="552">
        <f t="shared" si="15"/>
        <v>0</v>
      </c>
      <c r="K204" s="552"/>
      <c r="L204" s="572"/>
      <c r="M204" s="552">
        <f t="shared" si="9"/>
        <v>0</v>
      </c>
      <c r="N204" s="572"/>
      <c r="O204" s="552">
        <f t="shared" si="10"/>
        <v>0</v>
      </c>
      <c r="P204" s="552">
        <f t="shared" si="11"/>
        <v>0</v>
      </c>
    </row>
    <row r="205" spans="3:16">
      <c r="C205" s="548">
        <f>IF(D181="","-",+C204+1)</f>
        <v>2031</v>
      </c>
      <c r="D205" s="506">
        <f t="shared" si="12"/>
        <v>7844402.7193055619</v>
      </c>
      <c r="E205" s="549">
        <f t="shared" si="14"/>
        <v>424021.7686111111</v>
      </c>
      <c r="F205" s="549">
        <f t="shared" si="8"/>
        <v>7420380.9506944511</v>
      </c>
      <c r="G205" s="506">
        <f t="shared" si="13"/>
        <v>7632391.8350000065</v>
      </c>
      <c r="H205" s="554">
        <f>+J182*G205+E205</f>
        <v>1266077.6138885487</v>
      </c>
      <c r="I205" s="555">
        <f>+J183*G205+E205</f>
        <v>1266077.6138885487</v>
      </c>
      <c r="J205" s="552">
        <f t="shared" si="15"/>
        <v>0</v>
      </c>
      <c r="K205" s="552"/>
      <c r="L205" s="572"/>
      <c r="M205" s="552">
        <f t="shared" si="9"/>
        <v>0</v>
      </c>
      <c r="N205" s="572"/>
      <c r="O205" s="552">
        <f t="shared" si="10"/>
        <v>0</v>
      </c>
      <c r="P205" s="552">
        <f t="shared" si="11"/>
        <v>0</v>
      </c>
    </row>
    <row r="206" spans="3:16">
      <c r="C206" s="548">
        <f>IF(D181="","-",+C205+1)</f>
        <v>2032</v>
      </c>
      <c r="D206" s="506">
        <f t="shared" si="12"/>
        <v>7420380.9506944511</v>
      </c>
      <c r="E206" s="549">
        <f t="shared" si="14"/>
        <v>424021.7686111111</v>
      </c>
      <c r="F206" s="549">
        <f t="shared" si="8"/>
        <v>6996359.1820833404</v>
      </c>
      <c r="G206" s="506">
        <f t="shared" si="13"/>
        <v>7208370.0663888957</v>
      </c>
      <c r="H206" s="554">
        <f>+J182*G206+E206</f>
        <v>1219296.7335953577</v>
      </c>
      <c r="I206" s="555">
        <f>+J183*G206+E206</f>
        <v>1219296.7335953577</v>
      </c>
      <c r="J206" s="552">
        <f t="shared" si="15"/>
        <v>0</v>
      </c>
      <c r="K206" s="552"/>
      <c r="L206" s="572"/>
      <c r="M206" s="552">
        <f t="shared" si="9"/>
        <v>0</v>
      </c>
      <c r="N206" s="572"/>
      <c r="O206" s="552">
        <f t="shared" si="10"/>
        <v>0</v>
      </c>
      <c r="P206" s="552">
        <f t="shared" si="11"/>
        <v>0</v>
      </c>
    </row>
    <row r="207" spans="3:16">
      <c r="C207" s="548">
        <f>IF(D181="","-",+C206+1)</f>
        <v>2033</v>
      </c>
      <c r="D207" s="506">
        <f t="shared" si="12"/>
        <v>6996359.1820833404</v>
      </c>
      <c r="E207" s="549">
        <f t="shared" si="14"/>
        <v>424021.7686111111</v>
      </c>
      <c r="F207" s="549">
        <f t="shared" si="8"/>
        <v>6572337.4134722296</v>
      </c>
      <c r="G207" s="506">
        <f t="shared" si="13"/>
        <v>6784348.297777785</v>
      </c>
      <c r="H207" s="554">
        <f>+J182*G207+E207</f>
        <v>1172515.8533021668</v>
      </c>
      <c r="I207" s="555">
        <f>+J183*G207+E207</f>
        <v>1172515.8533021668</v>
      </c>
      <c r="J207" s="552">
        <f t="shared" si="15"/>
        <v>0</v>
      </c>
      <c r="K207" s="552"/>
      <c r="L207" s="572"/>
      <c r="M207" s="552">
        <f t="shared" si="9"/>
        <v>0</v>
      </c>
      <c r="N207" s="572"/>
      <c r="O207" s="552">
        <f t="shared" si="10"/>
        <v>0</v>
      </c>
      <c r="P207" s="552">
        <f t="shared" si="11"/>
        <v>0</v>
      </c>
    </row>
    <row r="208" spans="3:16">
      <c r="C208" s="548">
        <f>IF(D181="","-",+C207+1)</f>
        <v>2034</v>
      </c>
      <c r="D208" s="506">
        <f t="shared" si="12"/>
        <v>6572337.4134722296</v>
      </c>
      <c r="E208" s="549">
        <f t="shared" si="14"/>
        <v>424021.7686111111</v>
      </c>
      <c r="F208" s="549">
        <f t="shared" si="8"/>
        <v>6148315.6448611189</v>
      </c>
      <c r="G208" s="506">
        <f t="shared" si="13"/>
        <v>6360326.5291666742</v>
      </c>
      <c r="H208" s="554">
        <f>+J182*G208+E208</f>
        <v>1125734.9730089759</v>
      </c>
      <c r="I208" s="555">
        <f>+J183*G208+E208</f>
        <v>1125734.9730089759</v>
      </c>
      <c r="J208" s="552">
        <f t="shared" si="15"/>
        <v>0</v>
      </c>
      <c r="K208" s="552"/>
      <c r="L208" s="572"/>
      <c r="M208" s="552">
        <f t="shared" si="9"/>
        <v>0</v>
      </c>
      <c r="N208" s="572"/>
      <c r="O208" s="552">
        <f t="shared" si="10"/>
        <v>0</v>
      </c>
      <c r="P208" s="552">
        <f t="shared" si="11"/>
        <v>0</v>
      </c>
    </row>
    <row r="209" spans="3:16">
      <c r="C209" s="548">
        <f>IF(D181="","-",+C208+1)</f>
        <v>2035</v>
      </c>
      <c r="D209" s="506">
        <f t="shared" si="12"/>
        <v>6148315.6448611189</v>
      </c>
      <c r="E209" s="549">
        <f t="shared" si="14"/>
        <v>424021.7686111111</v>
      </c>
      <c r="F209" s="549">
        <f t="shared" si="8"/>
        <v>5724293.8762500081</v>
      </c>
      <c r="G209" s="506">
        <f t="shared" si="13"/>
        <v>5936304.7605555635</v>
      </c>
      <c r="H209" s="554">
        <f>+J182*G209+E209</f>
        <v>1078954.0927157849</v>
      </c>
      <c r="I209" s="555">
        <f>+J183*G209+E209</f>
        <v>1078954.0927157849</v>
      </c>
      <c r="J209" s="552">
        <f t="shared" si="15"/>
        <v>0</v>
      </c>
      <c r="K209" s="552"/>
      <c r="L209" s="572"/>
      <c r="M209" s="552">
        <f t="shared" si="9"/>
        <v>0</v>
      </c>
      <c r="N209" s="572"/>
      <c r="O209" s="552">
        <f t="shared" si="10"/>
        <v>0</v>
      </c>
      <c r="P209" s="552">
        <f t="shared" si="11"/>
        <v>0</v>
      </c>
    </row>
    <row r="210" spans="3:16">
      <c r="C210" s="548">
        <f>IF(D181="","-",+C209+1)</f>
        <v>2036</v>
      </c>
      <c r="D210" s="506">
        <f t="shared" si="12"/>
        <v>5724293.8762500081</v>
      </c>
      <c r="E210" s="549">
        <f t="shared" si="14"/>
        <v>424021.7686111111</v>
      </c>
      <c r="F210" s="549">
        <f t="shared" si="8"/>
        <v>5300272.1076388974</v>
      </c>
      <c r="G210" s="506">
        <f t="shared" si="13"/>
        <v>5512282.9919444527</v>
      </c>
      <c r="H210" s="554">
        <f>+J182*G210+E210</f>
        <v>1032173.2124225941</v>
      </c>
      <c r="I210" s="555">
        <f>+J183*G210+E210</f>
        <v>1032173.2124225941</v>
      </c>
      <c r="J210" s="552">
        <f t="shared" si="15"/>
        <v>0</v>
      </c>
      <c r="K210" s="552"/>
      <c r="L210" s="572"/>
      <c r="M210" s="552">
        <f t="shared" si="9"/>
        <v>0</v>
      </c>
      <c r="N210" s="572"/>
      <c r="O210" s="552">
        <f t="shared" si="10"/>
        <v>0</v>
      </c>
      <c r="P210" s="552">
        <f t="shared" si="11"/>
        <v>0</v>
      </c>
    </row>
    <row r="211" spans="3:16">
      <c r="C211" s="548">
        <f>IF(D181="","-",+C210+1)</f>
        <v>2037</v>
      </c>
      <c r="D211" s="506">
        <f t="shared" si="12"/>
        <v>5300272.1076388974</v>
      </c>
      <c r="E211" s="549">
        <f t="shared" si="14"/>
        <v>424021.7686111111</v>
      </c>
      <c r="F211" s="549">
        <f t="shared" si="8"/>
        <v>4876250.3390277866</v>
      </c>
      <c r="G211" s="506">
        <f t="shared" si="13"/>
        <v>5088261.223333342</v>
      </c>
      <c r="H211" s="554">
        <f>+J182*G211+E211</f>
        <v>985392.33212940325</v>
      </c>
      <c r="I211" s="555">
        <f>+J183*G211+E211</f>
        <v>985392.33212940325</v>
      </c>
      <c r="J211" s="552">
        <f t="shared" si="15"/>
        <v>0</v>
      </c>
      <c r="K211" s="552"/>
      <c r="L211" s="572"/>
      <c r="M211" s="552">
        <f t="shared" si="9"/>
        <v>0</v>
      </c>
      <c r="N211" s="572"/>
      <c r="O211" s="552">
        <f t="shared" si="10"/>
        <v>0</v>
      </c>
      <c r="P211" s="552">
        <f t="shared" si="11"/>
        <v>0</v>
      </c>
    </row>
    <row r="212" spans="3:16">
      <c r="C212" s="548">
        <f>IF(D181="","-",+C211+1)</f>
        <v>2038</v>
      </c>
      <c r="D212" s="506">
        <f t="shared" si="12"/>
        <v>4876250.3390277866</v>
      </c>
      <c r="E212" s="549">
        <f t="shared" si="14"/>
        <v>424021.7686111111</v>
      </c>
      <c r="F212" s="549">
        <f t="shared" si="8"/>
        <v>4452228.5704166759</v>
      </c>
      <c r="G212" s="506">
        <f t="shared" si="13"/>
        <v>4664239.4547222313</v>
      </c>
      <c r="H212" s="554">
        <f>+J182*G212+E212</f>
        <v>938611.45183621231</v>
      </c>
      <c r="I212" s="555">
        <f>+J183*G212+E212</f>
        <v>938611.45183621231</v>
      </c>
      <c r="J212" s="552">
        <f t="shared" si="15"/>
        <v>0</v>
      </c>
      <c r="K212" s="552"/>
      <c r="L212" s="572"/>
      <c r="M212" s="552">
        <f t="shared" si="9"/>
        <v>0</v>
      </c>
      <c r="N212" s="572"/>
      <c r="O212" s="552">
        <f t="shared" si="10"/>
        <v>0</v>
      </c>
      <c r="P212" s="552">
        <f t="shared" si="11"/>
        <v>0</v>
      </c>
    </row>
    <row r="213" spans="3:16">
      <c r="C213" s="548">
        <f>IF(D181="","-",+C212+1)</f>
        <v>2039</v>
      </c>
      <c r="D213" s="506">
        <f t="shared" si="12"/>
        <v>4452228.5704166759</v>
      </c>
      <c r="E213" s="549">
        <f t="shared" si="14"/>
        <v>424021.7686111111</v>
      </c>
      <c r="F213" s="549">
        <f t="shared" si="8"/>
        <v>4028206.8018055647</v>
      </c>
      <c r="G213" s="506">
        <f t="shared" si="13"/>
        <v>4240217.6861111205</v>
      </c>
      <c r="H213" s="554">
        <f>+J182*G213+E213</f>
        <v>891830.57154302136</v>
      </c>
      <c r="I213" s="555">
        <f>+J183*G213+E213</f>
        <v>891830.57154302136</v>
      </c>
      <c r="J213" s="552">
        <f t="shared" si="15"/>
        <v>0</v>
      </c>
      <c r="K213" s="552"/>
      <c r="L213" s="572"/>
      <c r="M213" s="552">
        <f t="shared" si="9"/>
        <v>0</v>
      </c>
      <c r="N213" s="572"/>
      <c r="O213" s="552">
        <f t="shared" si="10"/>
        <v>0</v>
      </c>
      <c r="P213" s="552">
        <f t="shared" si="11"/>
        <v>0</v>
      </c>
    </row>
    <row r="214" spans="3:16">
      <c r="C214" s="548">
        <f>IF(D181="","-",+C213+1)</f>
        <v>2040</v>
      </c>
      <c r="D214" s="506">
        <f t="shared" si="12"/>
        <v>4028206.8018055647</v>
      </c>
      <c r="E214" s="549">
        <f t="shared" si="14"/>
        <v>424021.7686111111</v>
      </c>
      <c r="F214" s="549">
        <f t="shared" si="8"/>
        <v>3604185.0331944535</v>
      </c>
      <c r="G214" s="506">
        <f t="shared" si="13"/>
        <v>3816195.9175000088</v>
      </c>
      <c r="H214" s="554">
        <f>+J182*G214+E214</f>
        <v>845049.69124983042</v>
      </c>
      <c r="I214" s="555">
        <f>+J183*G214+E214</f>
        <v>845049.69124983042</v>
      </c>
      <c r="J214" s="552">
        <f t="shared" si="15"/>
        <v>0</v>
      </c>
      <c r="K214" s="552"/>
      <c r="L214" s="572"/>
      <c r="M214" s="552">
        <f t="shared" si="9"/>
        <v>0</v>
      </c>
      <c r="N214" s="572"/>
      <c r="O214" s="552">
        <f t="shared" si="10"/>
        <v>0</v>
      </c>
      <c r="P214" s="552">
        <f t="shared" si="11"/>
        <v>0</v>
      </c>
    </row>
    <row r="215" spans="3:16">
      <c r="C215" s="548">
        <f>IF(D181="","-",+C214+1)</f>
        <v>2041</v>
      </c>
      <c r="D215" s="506">
        <f t="shared" si="12"/>
        <v>3604185.0331944535</v>
      </c>
      <c r="E215" s="549">
        <f t="shared" si="14"/>
        <v>424021.7686111111</v>
      </c>
      <c r="F215" s="549">
        <f t="shared" si="8"/>
        <v>3180163.2645833422</v>
      </c>
      <c r="G215" s="506">
        <f t="shared" si="13"/>
        <v>3392174.1488888981</v>
      </c>
      <c r="H215" s="554">
        <f>+J182*G215+E215</f>
        <v>798268.81095663947</v>
      </c>
      <c r="I215" s="555">
        <f>+J183*G215+E215</f>
        <v>798268.81095663947</v>
      </c>
      <c r="J215" s="552">
        <f t="shared" si="15"/>
        <v>0</v>
      </c>
      <c r="K215" s="552"/>
      <c r="L215" s="572"/>
      <c r="M215" s="552">
        <f t="shared" si="9"/>
        <v>0</v>
      </c>
      <c r="N215" s="572"/>
      <c r="O215" s="552">
        <f t="shared" si="10"/>
        <v>0</v>
      </c>
      <c r="P215" s="552">
        <f t="shared" si="11"/>
        <v>0</v>
      </c>
    </row>
    <row r="216" spans="3:16">
      <c r="C216" s="548">
        <f>IF(D181="","-",+C215+1)</f>
        <v>2042</v>
      </c>
      <c r="D216" s="506">
        <f t="shared" si="12"/>
        <v>3180163.2645833422</v>
      </c>
      <c r="E216" s="549">
        <f t="shared" si="14"/>
        <v>424021.7686111111</v>
      </c>
      <c r="F216" s="549">
        <f t="shared" si="8"/>
        <v>2756141.495972231</v>
      </c>
      <c r="G216" s="506">
        <f t="shared" si="13"/>
        <v>2968152.3802777864</v>
      </c>
      <c r="H216" s="554">
        <f>+J182*G216+E216</f>
        <v>751487.93066344853</v>
      </c>
      <c r="I216" s="555">
        <f>+J183*G216+E216</f>
        <v>751487.93066344853</v>
      </c>
      <c r="J216" s="552">
        <f t="shared" si="15"/>
        <v>0</v>
      </c>
      <c r="K216" s="552"/>
      <c r="L216" s="572"/>
      <c r="M216" s="552">
        <f t="shared" si="9"/>
        <v>0</v>
      </c>
      <c r="N216" s="572"/>
      <c r="O216" s="552">
        <f t="shared" si="10"/>
        <v>0</v>
      </c>
      <c r="P216" s="552">
        <f t="shared" si="11"/>
        <v>0</v>
      </c>
    </row>
    <row r="217" spans="3:16">
      <c r="C217" s="548">
        <f>IF(D181="","-",+C216+1)</f>
        <v>2043</v>
      </c>
      <c r="D217" s="506">
        <f t="shared" si="12"/>
        <v>2756141.495972231</v>
      </c>
      <c r="E217" s="549">
        <f t="shared" si="14"/>
        <v>424021.7686111111</v>
      </c>
      <c r="F217" s="549">
        <f t="shared" si="8"/>
        <v>2332119.7273611198</v>
      </c>
      <c r="G217" s="506">
        <f t="shared" si="13"/>
        <v>2544130.6116666757</v>
      </c>
      <c r="H217" s="554">
        <f>+J182*G217+E217</f>
        <v>704707.05037025758</v>
      </c>
      <c r="I217" s="555">
        <f>+J183*G217+E217</f>
        <v>704707.05037025758</v>
      </c>
      <c r="J217" s="552">
        <f t="shared" si="15"/>
        <v>0</v>
      </c>
      <c r="K217" s="552"/>
      <c r="L217" s="572"/>
      <c r="M217" s="552">
        <f t="shared" si="9"/>
        <v>0</v>
      </c>
      <c r="N217" s="572"/>
      <c r="O217" s="552">
        <f t="shared" si="10"/>
        <v>0</v>
      </c>
      <c r="P217" s="552">
        <f t="shared" si="11"/>
        <v>0</v>
      </c>
    </row>
    <row r="218" spans="3:16">
      <c r="C218" s="548">
        <f>IF(D181="","-",+C217+1)</f>
        <v>2044</v>
      </c>
      <c r="D218" s="506">
        <f t="shared" si="12"/>
        <v>2332119.7273611198</v>
      </c>
      <c r="E218" s="549">
        <f t="shared" si="14"/>
        <v>424021.7686111111</v>
      </c>
      <c r="F218" s="549">
        <f t="shared" si="8"/>
        <v>1908097.9587500086</v>
      </c>
      <c r="G218" s="506">
        <f t="shared" si="13"/>
        <v>2120108.843055564</v>
      </c>
      <c r="H218" s="554">
        <f>+J182*G218+E218</f>
        <v>657926.17007706664</v>
      </c>
      <c r="I218" s="555">
        <f>+J183*G218+E218</f>
        <v>657926.17007706664</v>
      </c>
      <c r="J218" s="552">
        <f t="shared" si="15"/>
        <v>0</v>
      </c>
      <c r="K218" s="552"/>
      <c r="L218" s="572"/>
      <c r="M218" s="552">
        <f t="shared" si="9"/>
        <v>0</v>
      </c>
      <c r="N218" s="572"/>
      <c r="O218" s="552">
        <f t="shared" si="10"/>
        <v>0</v>
      </c>
      <c r="P218" s="552">
        <f t="shared" si="11"/>
        <v>0</v>
      </c>
    </row>
    <row r="219" spans="3:16">
      <c r="C219" s="548">
        <f>IF(D181="","-",+C218+1)</f>
        <v>2045</v>
      </c>
      <c r="D219" s="506">
        <f t="shared" si="12"/>
        <v>1908097.9587500086</v>
      </c>
      <c r="E219" s="549">
        <f t="shared" si="14"/>
        <v>424021.7686111111</v>
      </c>
      <c r="F219" s="549">
        <f t="shared" si="8"/>
        <v>1484076.1901388974</v>
      </c>
      <c r="G219" s="506">
        <f t="shared" si="13"/>
        <v>1696087.074444453</v>
      </c>
      <c r="H219" s="554">
        <f>+J182*G219+E219</f>
        <v>611145.28978387569</v>
      </c>
      <c r="I219" s="555">
        <f>+J183*G219+E219</f>
        <v>611145.28978387569</v>
      </c>
      <c r="J219" s="552">
        <f t="shared" si="15"/>
        <v>0</v>
      </c>
      <c r="K219" s="552"/>
      <c r="L219" s="572"/>
      <c r="M219" s="552">
        <f t="shared" si="9"/>
        <v>0</v>
      </c>
      <c r="N219" s="572"/>
      <c r="O219" s="552">
        <f t="shared" si="10"/>
        <v>0</v>
      </c>
      <c r="P219" s="552">
        <f t="shared" si="11"/>
        <v>0</v>
      </c>
    </row>
    <row r="220" spans="3:16">
      <c r="C220" s="548">
        <f>IF(D181="","-",+C219+1)</f>
        <v>2046</v>
      </c>
      <c r="D220" s="506">
        <f t="shared" si="12"/>
        <v>1484076.1901388974</v>
      </c>
      <c r="E220" s="549">
        <f t="shared" si="14"/>
        <v>424021.7686111111</v>
      </c>
      <c r="F220" s="549">
        <f t="shared" si="8"/>
        <v>1060054.4215277862</v>
      </c>
      <c r="G220" s="506">
        <f t="shared" si="13"/>
        <v>1272065.3058333418</v>
      </c>
      <c r="H220" s="554">
        <f>+J182*G220+E220</f>
        <v>564364.40949068475</v>
      </c>
      <c r="I220" s="555">
        <f>+J183*G220+E220</f>
        <v>564364.40949068475</v>
      </c>
      <c r="J220" s="552">
        <f t="shared" si="15"/>
        <v>0</v>
      </c>
      <c r="K220" s="552"/>
      <c r="L220" s="572"/>
      <c r="M220" s="552">
        <f t="shared" si="9"/>
        <v>0</v>
      </c>
      <c r="N220" s="572"/>
      <c r="O220" s="552">
        <f t="shared" si="10"/>
        <v>0</v>
      </c>
      <c r="P220" s="552">
        <f t="shared" si="11"/>
        <v>0</v>
      </c>
    </row>
    <row r="221" spans="3:16">
      <c r="C221" s="548">
        <f>IF(D181="","-",+C220+1)</f>
        <v>2047</v>
      </c>
      <c r="D221" s="506">
        <f t="shared" si="12"/>
        <v>1060054.4215277862</v>
      </c>
      <c r="E221" s="549">
        <f t="shared" si="14"/>
        <v>424021.7686111111</v>
      </c>
      <c r="F221" s="549">
        <f t="shared" si="8"/>
        <v>636032.65291667508</v>
      </c>
      <c r="G221" s="506">
        <f t="shared" si="13"/>
        <v>848043.53722223057</v>
      </c>
      <c r="H221" s="554">
        <f>+J182*G221+E221</f>
        <v>517583.52919749386</v>
      </c>
      <c r="I221" s="555">
        <f>+J183*G221+E221</f>
        <v>517583.52919749386</v>
      </c>
      <c r="J221" s="552">
        <f t="shared" si="15"/>
        <v>0</v>
      </c>
      <c r="K221" s="552"/>
      <c r="L221" s="572"/>
      <c r="M221" s="552">
        <f t="shared" si="9"/>
        <v>0</v>
      </c>
      <c r="N221" s="572"/>
      <c r="O221" s="552">
        <f t="shared" si="10"/>
        <v>0</v>
      </c>
      <c r="P221" s="552">
        <f t="shared" si="11"/>
        <v>0</v>
      </c>
    </row>
    <row r="222" spans="3:16">
      <c r="C222" s="548">
        <f>IF(D181="","-",+C221+1)</f>
        <v>2048</v>
      </c>
      <c r="D222" s="506">
        <f t="shared" si="12"/>
        <v>636032.65291667508</v>
      </c>
      <c r="E222" s="549">
        <f t="shared" si="14"/>
        <v>424021.7686111111</v>
      </c>
      <c r="F222" s="549">
        <f t="shared" si="8"/>
        <v>212010.88430556399</v>
      </c>
      <c r="G222" s="506">
        <f t="shared" si="13"/>
        <v>424021.76861111954</v>
      </c>
      <c r="H222" s="554">
        <f>+J182*G222+E222</f>
        <v>470802.64890430297</v>
      </c>
      <c r="I222" s="555">
        <f>+J183*G222+E222</f>
        <v>470802.64890430297</v>
      </c>
      <c r="J222" s="552">
        <f t="shared" si="15"/>
        <v>0</v>
      </c>
      <c r="K222" s="552"/>
      <c r="L222" s="572"/>
      <c r="M222" s="552">
        <f t="shared" si="9"/>
        <v>0</v>
      </c>
      <c r="N222" s="572"/>
      <c r="O222" s="552">
        <f t="shared" si="10"/>
        <v>0</v>
      </c>
      <c r="P222" s="552">
        <f t="shared" si="11"/>
        <v>0</v>
      </c>
    </row>
    <row r="223" spans="3:16">
      <c r="C223" s="548">
        <f>IF(D181="","-",+C222+1)</f>
        <v>2049</v>
      </c>
      <c r="D223" s="506">
        <f t="shared" si="12"/>
        <v>212010.88430556399</v>
      </c>
      <c r="E223" s="549">
        <f t="shared" si="14"/>
        <v>212010.88430556399</v>
      </c>
      <c r="F223" s="549">
        <f t="shared" si="8"/>
        <v>0</v>
      </c>
      <c r="G223" s="506">
        <f t="shared" si="13"/>
        <v>106005.44215278199</v>
      </c>
      <c r="H223" s="554">
        <f>+J182*G223+E223</f>
        <v>223706.10437886219</v>
      </c>
      <c r="I223" s="555">
        <f>+J183*G223+E223</f>
        <v>223706.10437886219</v>
      </c>
      <c r="J223" s="552">
        <f t="shared" si="15"/>
        <v>0</v>
      </c>
      <c r="K223" s="552"/>
      <c r="L223" s="572"/>
      <c r="M223" s="552">
        <f t="shared" si="9"/>
        <v>0</v>
      </c>
      <c r="N223" s="572"/>
      <c r="O223" s="552">
        <f t="shared" si="10"/>
        <v>0</v>
      </c>
      <c r="P223" s="552">
        <f t="shared" si="11"/>
        <v>0</v>
      </c>
    </row>
    <row r="224" spans="3:16">
      <c r="C224" s="548">
        <f>IF(D181="","-",+C223+1)</f>
        <v>2050</v>
      </c>
      <c r="D224" s="506">
        <f t="shared" si="12"/>
        <v>0</v>
      </c>
      <c r="E224" s="549">
        <f t="shared" si="14"/>
        <v>0</v>
      </c>
      <c r="F224" s="549">
        <f t="shared" si="8"/>
        <v>0</v>
      </c>
      <c r="G224" s="506">
        <f t="shared" si="13"/>
        <v>0</v>
      </c>
      <c r="H224" s="554">
        <f>+J182*G224+E224</f>
        <v>0</v>
      </c>
      <c r="I224" s="555">
        <f>+J183*G224+E224</f>
        <v>0</v>
      </c>
      <c r="J224" s="552">
        <f t="shared" si="15"/>
        <v>0</v>
      </c>
      <c r="K224" s="552"/>
      <c r="L224" s="572"/>
      <c r="M224" s="552">
        <f t="shared" si="9"/>
        <v>0</v>
      </c>
      <c r="N224" s="572"/>
      <c r="O224" s="552">
        <f t="shared" si="10"/>
        <v>0</v>
      </c>
      <c r="P224" s="552">
        <f t="shared" si="11"/>
        <v>0</v>
      </c>
    </row>
    <row r="225" spans="3:16">
      <c r="C225" s="548">
        <f>IF(D181="","-",+C224+1)</f>
        <v>2051</v>
      </c>
      <c r="D225" s="506">
        <f t="shared" si="12"/>
        <v>0</v>
      </c>
      <c r="E225" s="549">
        <f t="shared" si="14"/>
        <v>0</v>
      </c>
      <c r="F225" s="549">
        <f t="shared" si="8"/>
        <v>0</v>
      </c>
      <c r="G225" s="506">
        <f t="shared" si="13"/>
        <v>0</v>
      </c>
      <c r="H225" s="554">
        <f>+J182*G225+E225</f>
        <v>0</v>
      </c>
      <c r="I225" s="555">
        <f>+J183*G225+E225</f>
        <v>0</v>
      </c>
      <c r="J225" s="552">
        <f t="shared" si="15"/>
        <v>0</v>
      </c>
      <c r="K225" s="552"/>
      <c r="L225" s="572"/>
      <c r="M225" s="552">
        <f t="shared" si="9"/>
        <v>0</v>
      </c>
      <c r="N225" s="572"/>
      <c r="O225" s="552">
        <f t="shared" si="10"/>
        <v>0</v>
      </c>
      <c r="P225" s="552">
        <f t="shared" si="11"/>
        <v>0</v>
      </c>
    </row>
    <row r="226" spans="3:16">
      <c r="C226" s="548">
        <f>IF(D181="","-",+C225+1)</f>
        <v>2052</v>
      </c>
      <c r="D226" s="506">
        <f t="shared" si="12"/>
        <v>0</v>
      </c>
      <c r="E226" s="549">
        <f t="shared" si="14"/>
        <v>0</v>
      </c>
      <c r="F226" s="549">
        <f t="shared" si="8"/>
        <v>0</v>
      </c>
      <c r="G226" s="506">
        <f t="shared" si="13"/>
        <v>0</v>
      </c>
      <c r="H226" s="554">
        <f>+J182*G226+E226</f>
        <v>0</v>
      </c>
      <c r="I226" s="555">
        <f>+J183*G226+E226</f>
        <v>0</v>
      </c>
      <c r="J226" s="552">
        <f t="shared" si="15"/>
        <v>0</v>
      </c>
      <c r="K226" s="552"/>
      <c r="L226" s="572"/>
      <c r="M226" s="552">
        <f t="shared" si="9"/>
        <v>0</v>
      </c>
      <c r="N226" s="572"/>
      <c r="O226" s="552">
        <f t="shared" si="10"/>
        <v>0</v>
      </c>
      <c r="P226" s="552">
        <f t="shared" si="11"/>
        <v>0</v>
      </c>
    </row>
    <row r="227" spans="3:16">
      <c r="C227" s="548">
        <f>IF(D181="","-",+C226+1)</f>
        <v>2053</v>
      </c>
      <c r="D227" s="506">
        <f t="shared" si="12"/>
        <v>0</v>
      </c>
      <c r="E227" s="549">
        <f t="shared" si="14"/>
        <v>0</v>
      </c>
      <c r="F227" s="549">
        <f t="shared" si="8"/>
        <v>0</v>
      </c>
      <c r="G227" s="506">
        <f t="shared" si="13"/>
        <v>0</v>
      </c>
      <c r="H227" s="554">
        <f>+J182*G227+E227</f>
        <v>0</v>
      </c>
      <c r="I227" s="555">
        <f>+J183*G227+E227</f>
        <v>0</v>
      </c>
      <c r="J227" s="552">
        <f t="shared" si="15"/>
        <v>0</v>
      </c>
      <c r="K227" s="552"/>
      <c r="L227" s="572"/>
      <c r="M227" s="552">
        <f t="shared" si="9"/>
        <v>0</v>
      </c>
      <c r="N227" s="572"/>
      <c r="O227" s="552">
        <f t="shared" si="10"/>
        <v>0</v>
      </c>
      <c r="P227" s="552">
        <f t="shared" si="11"/>
        <v>0</v>
      </c>
    </row>
    <row r="228" spans="3:16">
      <c r="C228" s="548">
        <f>IF(D181="","-",+C227+1)</f>
        <v>2054</v>
      </c>
      <c r="D228" s="506">
        <f t="shared" si="12"/>
        <v>0</v>
      </c>
      <c r="E228" s="549">
        <f t="shared" si="14"/>
        <v>0</v>
      </c>
      <c r="F228" s="549">
        <f t="shared" si="8"/>
        <v>0</v>
      </c>
      <c r="G228" s="506">
        <f t="shared" si="13"/>
        <v>0</v>
      </c>
      <c r="H228" s="554">
        <f>+J182*G228+E228</f>
        <v>0</v>
      </c>
      <c r="I228" s="555">
        <f>+J183*G228+E228</f>
        <v>0</v>
      </c>
      <c r="J228" s="552">
        <f t="shared" si="15"/>
        <v>0</v>
      </c>
      <c r="K228" s="552"/>
      <c r="L228" s="572"/>
      <c r="M228" s="552">
        <f t="shared" si="9"/>
        <v>0</v>
      </c>
      <c r="N228" s="572"/>
      <c r="O228" s="552">
        <f t="shared" si="10"/>
        <v>0</v>
      </c>
      <c r="P228" s="552">
        <f t="shared" si="11"/>
        <v>0</v>
      </c>
    </row>
    <row r="229" spans="3:16">
      <c r="C229" s="548">
        <f>IF(D181="","-",+C228+1)</f>
        <v>2055</v>
      </c>
      <c r="D229" s="506">
        <f t="shared" si="12"/>
        <v>0</v>
      </c>
      <c r="E229" s="549">
        <f t="shared" si="14"/>
        <v>0</v>
      </c>
      <c r="F229" s="549">
        <f t="shared" si="8"/>
        <v>0</v>
      </c>
      <c r="G229" s="506">
        <f t="shared" si="13"/>
        <v>0</v>
      </c>
      <c r="H229" s="554">
        <f>+J182*G229+E229</f>
        <v>0</v>
      </c>
      <c r="I229" s="555">
        <f>+J183*G229+E229</f>
        <v>0</v>
      </c>
      <c r="J229" s="552">
        <f t="shared" si="15"/>
        <v>0</v>
      </c>
      <c r="K229" s="552"/>
      <c r="L229" s="572"/>
      <c r="M229" s="552">
        <f t="shared" si="9"/>
        <v>0</v>
      </c>
      <c r="N229" s="572"/>
      <c r="O229" s="552">
        <f t="shared" si="10"/>
        <v>0</v>
      </c>
      <c r="P229" s="552">
        <f t="shared" si="11"/>
        <v>0</v>
      </c>
    </row>
    <row r="230" spans="3:16">
      <c r="C230" s="548">
        <f>IF(D181="","-",+C229+1)</f>
        <v>2056</v>
      </c>
      <c r="D230" s="506">
        <f t="shared" si="12"/>
        <v>0</v>
      </c>
      <c r="E230" s="549">
        <f t="shared" si="14"/>
        <v>0</v>
      </c>
      <c r="F230" s="549">
        <f t="shared" si="8"/>
        <v>0</v>
      </c>
      <c r="G230" s="506">
        <f t="shared" si="13"/>
        <v>0</v>
      </c>
      <c r="H230" s="554">
        <f>+J182*G230+E230</f>
        <v>0</v>
      </c>
      <c r="I230" s="555">
        <f>+J183*G230+E230</f>
        <v>0</v>
      </c>
      <c r="J230" s="552">
        <f t="shared" si="15"/>
        <v>0</v>
      </c>
      <c r="K230" s="552"/>
      <c r="L230" s="572"/>
      <c r="M230" s="552">
        <f t="shared" si="9"/>
        <v>0</v>
      </c>
      <c r="N230" s="572"/>
      <c r="O230" s="552">
        <f t="shared" si="10"/>
        <v>0</v>
      </c>
      <c r="P230" s="552">
        <f t="shared" si="11"/>
        <v>0</v>
      </c>
    </row>
    <row r="231" spans="3:16">
      <c r="C231" s="548">
        <f>IF(D181="","-",+C230+1)</f>
        <v>2057</v>
      </c>
      <c r="D231" s="506">
        <f t="shared" si="12"/>
        <v>0</v>
      </c>
      <c r="E231" s="549">
        <f t="shared" si="14"/>
        <v>0</v>
      </c>
      <c r="F231" s="549">
        <f t="shared" si="8"/>
        <v>0</v>
      </c>
      <c r="G231" s="506">
        <f t="shared" si="13"/>
        <v>0</v>
      </c>
      <c r="H231" s="554">
        <f>+J182*G231+E231</f>
        <v>0</v>
      </c>
      <c r="I231" s="555">
        <f>+J183*G231+E231</f>
        <v>0</v>
      </c>
      <c r="J231" s="552">
        <f t="shared" si="15"/>
        <v>0</v>
      </c>
      <c r="K231" s="552"/>
      <c r="L231" s="572"/>
      <c r="M231" s="552">
        <f t="shared" si="9"/>
        <v>0</v>
      </c>
      <c r="N231" s="572"/>
      <c r="O231" s="552">
        <f t="shared" si="10"/>
        <v>0</v>
      </c>
      <c r="P231" s="552">
        <f t="shared" si="11"/>
        <v>0</v>
      </c>
    </row>
    <row r="232" spans="3:16">
      <c r="C232" s="548">
        <f>IF(D181="","-",+C231+1)</f>
        <v>2058</v>
      </c>
      <c r="D232" s="506">
        <f t="shared" si="12"/>
        <v>0</v>
      </c>
      <c r="E232" s="549">
        <f t="shared" si="14"/>
        <v>0</v>
      </c>
      <c r="F232" s="549">
        <f t="shared" si="8"/>
        <v>0</v>
      </c>
      <c r="G232" s="506">
        <f t="shared" si="13"/>
        <v>0</v>
      </c>
      <c r="H232" s="554">
        <f>+J182*G232+E232</f>
        <v>0</v>
      </c>
      <c r="I232" s="555">
        <f>+J183*G232+E232</f>
        <v>0</v>
      </c>
      <c r="J232" s="552">
        <f t="shared" si="15"/>
        <v>0</v>
      </c>
      <c r="K232" s="552"/>
      <c r="L232" s="572"/>
      <c r="M232" s="552">
        <f t="shared" si="9"/>
        <v>0</v>
      </c>
      <c r="N232" s="572"/>
      <c r="O232" s="552">
        <f t="shared" si="10"/>
        <v>0</v>
      </c>
      <c r="P232" s="552">
        <f t="shared" si="11"/>
        <v>0</v>
      </c>
    </row>
    <row r="233" spans="3:16">
      <c r="C233" s="548">
        <f>IF(D181="","-",+C232+1)</f>
        <v>2059</v>
      </c>
      <c r="D233" s="506">
        <f t="shared" si="12"/>
        <v>0</v>
      </c>
      <c r="E233" s="549">
        <f t="shared" si="14"/>
        <v>0</v>
      </c>
      <c r="F233" s="549">
        <f t="shared" si="8"/>
        <v>0</v>
      </c>
      <c r="G233" s="506">
        <f t="shared" si="13"/>
        <v>0</v>
      </c>
      <c r="H233" s="554">
        <f>+J182*G233+E233</f>
        <v>0</v>
      </c>
      <c r="I233" s="555">
        <f>+J183*G233+E233</f>
        <v>0</v>
      </c>
      <c r="J233" s="552">
        <f t="shared" si="15"/>
        <v>0</v>
      </c>
      <c r="K233" s="552"/>
      <c r="L233" s="572"/>
      <c r="M233" s="552">
        <f t="shared" si="9"/>
        <v>0</v>
      </c>
      <c r="N233" s="572"/>
      <c r="O233" s="552">
        <f t="shared" si="10"/>
        <v>0</v>
      </c>
      <c r="P233" s="552">
        <f t="shared" si="11"/>
        <v>0</v>
      </c>
    </row>
    <row r="234" spans="3:16">
      <c r="C234" s="548">
        <f>IF(D181="","-",+C233+1)</f>
        <v>2060</v>
      </c>
      <c r="D234" s="506">
        <f t="shared" si="12"/>
        <v>0</v>
      </c>
      <c r="E234" s="549">
        <f t="shared" si="14"/>
        <v>0</v>
      </c>
      <c r="F234" s="549">
        <f t="shared" si="8"/>
        <v>0</v>
      </c>
      <c r="G234" s="506">
        <f t="shared" si="13"/>
        <v>0</v>
      </c>
      <c r="H234" s="554">
        <f>+J182*G234+E234</f>
        <v>0</v>
      </c>
      <c r="I234" s="555">
        <f>+J183*G234+E234</f>
        <v>0</v>
      </c>
      <c r="J234" s="552">
        <f t="shared" si="15"/>
        <v>0</v>
      </c>
      <c r="K234" s="552"/>
      <c r="L234" s="572"/>
      <c r="M234" s="552">
        <f t="shared" si="9"/>
        <v>0</v>
      </c>
      <c r="N234" s="572"/>
      <c r="O234" s="552">
        <f t="shared" si="10"/>
        <v>0</v>
      </c>
      <c r="P234" s="552">
        <f t="shared" si="11"/>
        <v>0</v>
      </c>
    </row>
    <row r="235" spans="3:16">
      <c r="C235" s="548">
        <f>IF(D181="","-",+C234+1)</f>
        <v>2061</v>
      </c>
      <c r="D235" s="506">
        <f t="shared" si="12"/>
        <v>0</v>
      </c>
      <c r="E235" s="549">
        <f t="shared" si="14"/>
        <v>0</v>
      </c>
      <c r="F235" s="549">
        <f t="shared" si="8"/>
        <v>0</v>
      </c>
      <c r="G235" s="506">
        <f t="shared" si="13"/>
        <v>0</v>
      </c>
      <c r="H235" s="554">
        <f>+J182*G235+E235</f>
        <v>0</v>
      </c>
      <c r="I235" s="555">
        <f>+J183*G235+E235</f>
        <v>0</v>
      </c>
      <c r="J235" s="552">
        <f t="shared" si="15"/>
        <v>0</v>
      </c>
      <c r="K235" s="552"/>
      <c r="L235" s="572"/>
      <c r="M235" s="552">
        <f t="shared" si="9"/>
        <v>0</v>
      </c>
      <c r="N235" s="572"/>
      <c r="O235" s="552">
        <f t="shared" si="10"/>
        <v>0</v>
      </c>
      <c r="P235" s="552">
        <f t="shared" si="11"/>
        <v>0</v>
      </c>
    </row>
    <row r="236" spans="3:16">
      <c r="C236" s="548">
        <f>IF(D181="","-",+C235+1)</f>
        <v>2062</v>
      </c>
      <c r="D236" s="506">
        <f t="shared" si="12"/>
        <v>0</v>
      </c>
      <c r="E236" s="549">
        <f t="shared" si="14"/>
        <v>0</v>
      </c>
      <c r="F236" s="549">
        <f t="shared" si="8"/>
        <v>0</v>
      </c>
      <c r="G236" s="506">
        <f t="shared" si="13"/>
        <v>0</v>
      </c>
      <c r="H236" s="554">
        <f>+J182*G236+E236</f>
        <v>0</v>
      </c>
      <c r="I236" s="555">
        <f>+J183*G236+E236</f>
        <v>0</v>
      </c>
      <c r="J236" s="552">
        <f t="shared" si="15"/>
        <v>0</v>
      </c>
      <c r="K236" s="552"/>
      <c r="L236" s="572"/>
      <c r="M236" s="552">
        <f t="shared" si="9"/>
        <v>0</v>
      </c>
      <c r="N236" s="572"/>
      <c r="O236" s="552">
        <f t="shared" si="10"/>
        <v>0</v>
      </c>
      <c r="P236" s="552">
        <f t="shared" si="11"/>
        <v>0</v>
      </c>
    </row>
    <row r="237" spans="3:16">
      <c r="C237" s="548">
        <f>IF(D181="","-",+C236+1)</f>
        <v>2063</v>
      </c>
      <c r="D237" s="506">
        <f t="shared" si="12"/>
        <v>0</v>
      </c>
      <c r="E237" s="549">
        <f t="shared" si="14"/>
        <v>0</v>
      </c>
      <c r="F237" s="549">
        <f t="shared" si="8"/>
        <v>0</v>
      </c>
      <c r="G237" s="506">
        <f t="shared" si="13"/>
        <v>0</v>
      </c>
      <c r="H237" s="554">
        <f>+J182*G237+E237</f>
        <v>0</v>
      </c>
      <c r="I237" s="555">
        <f>+J183*G237+E237</f>
        <v>0</v>
      </c>
      <c r="J237" s="552">
        <f t="shared" si="15"/>
        <v>0</v>
      </c>
      <c r="K237" s="552"/>
      <c r="L237" s="572"/>
      <c r="M237" s="552">
        <f t="shared" si="9"/>
        <v>0</v>
      </c>
      <c r="N237" s="572"/>
      <c r="O237" s="552">
        <f t="shared" si="10"/>
        <v>0</v>
      </c>
      <c r="P237" s="552">
        <f t="shared" si="11"/>
        <v>0</v>
      </c>
    </row>
    <row r="238" spans="3:16">
      <c r="C238" s="548">
        <f>IF(D181="","-",+C237+1)</f>
        <v>2064</v>
      </c>
      <c r="D238" s="506">
        <f t="shared" si="12"/>
        <v>0</v>
      </c>
      <c r="E238" s="549">
        <f t="shared" si="14"/>
        <v>0</v>
      </c>
      <c r="F238" s="549">
        <f t="shared" si="8"/>
        <v>0</v>
      </c>
      <c r="G238" s="506">
        <f t="shared" si="13"/>
        <v>0</v>
      </c>
      <c r="H238" s="554">
        <f>+J182*G238+E238</f>
        <v>0</v>
      </c>
      <c r="I238" s="555">
        <f>+J183*G238+E238</f>
        <v>0</v>
      </c>
      <c r="J238" s="552">
        <f t="shared" si="15"/>
        <v>0</v>
      </c>
      <c r="K238" s="552"/>
      <c r="L238" s="572"/>
      <c r="M238" s="552">
        <f t="shared" si="9"/>
        <v>0</v>
      </c>
      <c r="N238" s="572"/>
      <c r="O238" s="552">
        <f t="shared" si="10"/>
        <v>0</v>
      </c>
      <c r="P238" s="552">
        <f t="shared" si="11"/>
        <v>0</v>
      </c>
    </row>
    <row r="239" spans="3:16">
      <c r="C239" s="548">
        <f>IF(D181="","-",+C238+1)</f>
        <v>2065</v>
      </c>
      <c r="D239" s="506">
        <f t="shared" si="12"/>
        <v>0</v>
      </c>
      <c r="E239" s="549">
        <f t="shared" si="14"/>
        <v>0</v>
      </c>
      <c r="F239" s="549">
        <f t="shared" si="8"/>
        <v>0</v>
      </c>
      <c r="G239" s="506">
        <f t="shared" si="13"/>
        <v>0</v>
      </c>
      <c r="H239" s="554">
        <f>+J182*G239+E239</f>
        <v>0</v>
      </c>
      <c r="I239" s="555">
        <f>+J183*G239+E239</f>
        <v>0</v>
      </c>
      <c r="J239" s="552">
        <f t="shared" si="15"/>
        <v>0</v>
      </c>
      <c r="K239" s="552"/>
      <c r="L239" s="572"/>
      <c r="M239" s="552">
        <f t="shared" si="9"/>
        <v>0</v>
      </c>
      <c r="N239" s="572"/>
      <c r="O239" s="552">
        <f t="shared" si="10"/>
        <v>0</v>
      </c>
      <c r="P239" s="552">
        <f t="shared" si="11"/>
        <v>0</v>
      </c>
    </row>
    <row r="240" spans="3:16">
      <c r="C240" s="548">
        <f>IF(D181="","-",+C239+1)</f>
        <v>2066</v>
      </c>
      <c r="D240" s="506">
        <f t="shared" si="12"/>
        <v>0</v>
      </c>
      <c r="E240" s="549">
        <f t="shared" si="14"/>
        <v>0</v>
      </c>
      <c r="F240" s="549">
        <f t="shared" si="8"/>
        <v>0</v>
      </c>
      <c r="G240" s="506">
        <f t="shared" si="13"/>
        <v>0</v>
      </c>
      <c r="H240" s="554">
        <f>+J182*G240+E240</f>
        <v>0</v>
      </c>
      <c r="I240" s="555">
        <f>+J183*G240+E240</f>
        <v>0</v>
      </c>
      <c r="J240" s="552">
        <f t="shared" si="15"/>
        <v>0</v>
      </c>
      <c r="K240" s="552"/>
      <c r="L240" s="572"/>
      <c r="M240" s="552">
        <f t="shared" si="9"/>
        <v>0</v>
      </c>
      <c r="N240" s="572"/>
      <c r="O240" s="552">
        <f t="shared" si="10"/>
        <v>0</v>
      </c>
      <c r="P240" s="552">
        <f t="shared" si="11"/>
        <v>0</v>
      </c>
    </row>
    <row r="241" spans="1:17">
      <c r="C241" s="548">
        <f>IF(D181="","-",+C240+1)</f>
        <v>2067</v>
      </c>
      <c r="D241" s="506">
        <f t="shared" ref="D241:D246" si="16">F240</f>
        <v>0</v>
      </c>
      <c r="E241" s="549">
        <f t="shared" si="14"/>
        <v>0</v>
      </c>
      <c r="F241" s="549">
        <f t="shared" si="8"/>
        <v>0</v>
      </c>
      <c r="G241" s="506">
        <f t="shared" si="13"/>
        <v>0</v>
      </c>
      <c r="H241" s="554">
        <f>+J182*G241+E241</f>
        <v>0</v>
      </c>
      <c r="I241" s="555">
        <f>+J183*G241+E241</f>
        <v>0</v>
      </c>
      <c r="J241" s="552">
        <f t="shared" si="15"/>
        <v>0</v>
      </c>
      <c r="K241" s="552"/>
      <c r="L241" s="572"/>
      <c r="M241" s="552">
        <f t="shared" si="9"/>
        <v>0</v>
      </c>
      <c r="N241" s="572"/>
      <c r="O241" s="552">
        <f t="shared" si="10"/>
        <v>0</v>
      </c>
      <c r="P241" s="552">
        <f t="shared" si="11"/>
        <v>0</v>
      </c>
    </row>
    <row r="242" spans="1:17">
      <c r="C242" s="548">
        <f>IF(D181="","-",+C241+1)</f>
        <v>2068</v>
      </c>
      <c r="D242" s="506">
        <f t="shared" si="16"/>
        <v>0</v>
      </c>
      <c r="E242" s="549">
        <f t="shared" si="14"/>
        <v>0</v>
      </c>
      <c r="F242" s="549">
        <f t="shared" si="8"/>
        <v>0</v>
      </c>
      <c r="G242" s="506">
        <f t="shared" si="13"/>
        <v>0</v>
      </c>
      <c r="H242" s="554">
        <f>+J182*G242+E242</f>
        <v>0</v>
      </c>
      <c r="I242" s="555">
        <f>+J183*G242+E242</f>
        <v>0</v>
      </c>
      <c r="J242" s="552">
        <f t="shared" si="15"/>
        <v>0</v>
      </c>
      <c r="K242" s="552"/>
      <c r="L242" s="572"/>
      <c r="M242" s="552">
        <f t="shared" si="9"/>
        <v>0</v>
      </c>
      <c r="N242" s="572"/>
      <c r="O242" s="552">
        <f t="shared" si="10"/>
        <v>0</v>
      </c>
      <c r="P242" s="552">
        <f t="shared" si="11"/>
        <v>0</v>
      </c>
    </row>
    <row r="243" spans="1:17">
      <c r="C243" s="548">
        <f>IF(D181="","-",+C242+1)</f>
        <v>2069</v>
      </c>
      <c r="D243" s="506">
        <f t="shared" si="16"/>
        <v>0</v>
      </c>
      <c r="E243" s="549">
        <f t="shared" si="14"/>
        <v>0</v>
      </c>
      <c r="F243" s="549">
        <f t="shared" si="8"/>
        <v>0</v>
      </c>
      <c r="G243" s="506">
        <f t="shared" si="13"/>
        <v>0</v>
      </c>
      <c r="H243" s="554">
        <f>+J182*G243+E243</f>
        <v>0</v>
      </c>
      <c r="I243" s="555">
        <f>+J183*G243+E243</f>
        <v>0</v>
      </c>
      <c r="J243" s="552">
        <f t="shared" si="15"/>
        <v>0</v>
      </c>
      <c r="K243" s="552"/>
      <c r="L243" s="572"/>
      <c r="M243" s="552">
        <f t="shared" si="9"/>
        <v>0</v>
      </c>
      <c r="N243" s="572"/>
      <c r="O243" s="552">
        <f t="shared" si="10"/>
        <v>0</v>
      </c>
      <c r="P243" s="552">
        <f t="shared" si="11"/>
        <v>0</v>
      </c>
    </row>
    <row r="244" spans="1:17">
      <c r="C244" s="548">
        <f>IF(D181="","-",+C243+1)</f>
        <v>2070</v>
      </c>
      <c r="D244" s="506">
        <f t="shared" si="16"/>
        <v>0</v>
      </c>
      <c r="E244" s="549">
        <f t="shared" si="14"/>
        <v>0</v>
      </c>
      <c r="F244" s="549">
        <f t="shared" si="8"/>
        <v>0</v>
      </c>
      <c r="G244" s="506">
        <f t="shared" si="13"/>
        <v>0</v>
      </c>
      <c r="H244" s="554">
        <f>+J182*G244+E244</f>
        <v>0</v>
      </c>
      <c r="I244" s="555">
        <f>+J183*G244+E244</f>
        <v>0</v>
      </c>
      <c r="J244" s="552">
        <f t="shared" si="15"/>
        <v>0</v>
      </c>
      <c r="K244" s="552"/>
      <c r="L244" s="572"/>
      <c r="M244" s="552">
        <f t="shared" si="9"/>
        <v>0</v>
      </c>
      <c r="N244" s="572"/>
      <c r="O244" s="552">
        <f t="shared" si="10"/>
        <v>0</v>
      </c>
      <c r="P244" s="552">
        <f t="shared" si="11"/>
        <v>0</v>
      </c>
    </row>
    <row r="245" spans="1:17">
      <c r="C245" s="548">
        <f>IF(D181="","-",+C244+1)</f>
        <v>2071</v>
      </c>
      <c r="D245" s="506">
        <f t="shared" si="16"/>
        <v>0</v>
      </c>
      <c r="E245" s="549">
        <f t="shared" si="14"/>
        <v>0</v>
      </c>
      <c r="F245" s="549">
        <f t="shared" si="8"/>
        <v>0</v>
      </c>
      <c r="G245" s="506">
        <f t="shared" si="13"/>
        <v>0</v>
      </c>
      <c r="H245" s="554">
        <f>+J182*G245+E245</f>
        <v>0</v>
      </c>
      <c r="I245" s="555">
        <f>+J183*G245+E245</f>
        <v>0</v>
      </c>
      <c r="J245" s="552">
        <f t="shared" si="15"/>
        <v>0</v>
      </c>
      <c r="K245" s="552"/>
      <c r="L245" s="572"/>
      <c r="M245" s="552">
        <f t="shared" si="9"/>
        <v>0</v>
      </c>
      <c r="N245" s="572"/>
      <c r="O245" s="552">
        <f t="shared" si="10"/>
        <v>0</v>
      </c>
      <c r="P245" s="552">
        <f t="shared" si="11"/>
        <v>0</v>
      </c>
    </row>
    <row r="246" spans="1:17" ht="13.5" thickBot="1">
      <c r="C246" s="558">
        <f>IF(D181="","-",+C245+1)</f>
        <v>2072</v>
      </c>
      <c r="D246" s="559">
        <f t="shared" si="16"/>
        <v>0</v>
      </c>
      <c r="E246" s="560">
        <f t="shared" si="14"/>
        <v>0</v>
      </c>
      <c r="F246" s="560">
        <f t="shared" si="8"/>
        <v>0</v>
      </c>
      <c r="G246" s="559">
        <f t="shared" si="13"/>
        <v>0</v>
      </c>
      <c r="H246" s="561">
        <f>+J182*G246+E246</f>
        <v>0</v>
      </c>
      <c r="I246" s="561">
        <f>+J183*G246+E246</f>
        <v>0</v>
      </c>
      <c r="J246" s="562">
        <f t="shared" si="15"/>
        <v>0</v>
      </c>
      <c r="K246" s="552"/>
      <c r="L246" s="573"/>
      <c r="M246" s="562">
        <f t="shared" si="9"/>
        <v>0</v>
      </c>
      <c r="N246" s="573"/>
      <c r="O246" s="562">
        <f t="shared" si="10"/>
        <v>0</v>
      </c>
      <c r="P246" s="562">
        <f t="shared" si="11"/>
        <v>0</v>
      </c>
    </row>
    <row r="247" spans="1:17">
      <c r="C247" s="506" t="s">
        <v>91</v>
      </c>
      <c r="D247" s="503"/>
      <c r="E247" s="503">
        <f>SUM(E187:E246)</f>
        <v>15264783.670000002</v>
      </c>
      <c r="F247" s="503"/>
      <c r="G247" s="503"/>
      <c r="H247" s="503">
        <f>SUM(H187:H246)</f>
        <v>46420849.945265189</v>
      </c>
      <c r="I247" s="503">
        <f>SUM(I187:I246)</f>
        <v>46420849.945265189</v>
      </c>
      <c r="J247" s="503">
        <f>SUM(J187:J246)</f>
        <v>0</v>
      </c>
      <c r="K247" s="503"/>
      <c r="L247" s="503"/>
      <c r="M247" s="503"/>
      <c r="N247" s="503"/>
      <c r="O247" s="503"/>
    </row>
    <row r="248" spans="1:17">
      <c r="D248" s="47"/>
      <c r="E248" s="3"/>
      <c r="F248" s="3"/>
      <c r="G248" s="3"/>
      <c r="H248" s="3"/>
      <c r="I248" s="490"/>
      <c r="J248" s="490"/>
      <c r="K248" s="503"/>
      <c r="L248" s="490"/>
      <c r="M248" s="490"/>
      <c r="N248" s="490"/>
      <c r="O248" s="490"/>
    </row>
    <row r="249" spans="1:17">
      <c r="C249" s="3" t="s">
        <v>13</v>
      </c>
      <c r="D249" s="47"/>
      <c r="E249" s="3"/>
      <c r="F249" s="3"/>
      <c r="G249" s="3"/>
      <c r="H249" s="3"/>
      <c r="I249" s="490"/>
      <c r="J249" s="490"/>
      <c r="K249" s="503"/>
      <c r="L249" s="490"/>
      <c r="M249" s="490"/>
      <c r="N249" s="490"/>
      <c r="O249" s="490"/>
    </row>
    <row r="250" spans="1:17">
      <c r="C250" s="3"/>
      <c r="D250" s="47"/>
      <c r="E250" s="3"/>
      <c r="F250" s="3"/>
      <c r="G250" s="3"/>
      <c r="H250" s="3"/>
      <c r="I250" s="490"/>
      <c r="J250" s="490"/>
      <c r="K250" s="503"/>
      <c r="L250" s="490"/>
      <c r="M250" s="490"/>
      <c r="N250" s="490"/>
      <c r="O250" s="490"/>
    </row>
    <row r="251" spans="1:17">
      <c r="C251" s="518" t="s">
        <v>14</v>
      </c>
      <c r="D251" s="506"/>
      <c r="E251" s="506"/>
      <c r="F251" s="506"/>
      <c r="G251" s="506"/>
      <c r="H251" s="503"/>
      <c r="I251" s="503"/>
      <c r="J251" s="564"/>
      <c r="K251" s="564"/>
      <c r="L251" s="564"/>
      <c r="M251" s="564"/>
      <c r="N251" s="564"/>
      <c r="O251" s="564"/>
    </row>
    <row r="252" spans="1:17">
      <c r="C252" s="507" t="s">
        <v>271</v>
      </c>
      <c r="D252" s="506"/>
      <c r="E252" s="506"/>
      <c r="F252" s="506"/>
      <c r="G252" s="506"/>
      <c r="H252" s="503"/>
      <c r="I252" s="503"/>
      <c r="J252" s="564"/>
      <c r="K252" s="564"/>
      <c r="L252" s="564"/>
      <c r="M252" s="564"/>
      <c r="N252" s="564"/>
      <c r="O252" s="564"/>
    </row>
    <row r="253" spans="1:17">
      <c r="C253" s="507" t="s">
        <v>92</v>
      </c>
      <c r="D253" s="506"/>
      <c r="E253" s="506"/>
      <c r="F253" s="506"/>
      <c r="G253" s="506"/>
      <c r="H253" s="503"/>
      <c r="I253" s="503"/>
      <c r="J253" s="564"/>
      <c r="K253" s="564"/>
      <c r="L253" s="564"/>
      <c r="M253" s="564"/>
      <c r="N253" s="564"/>
      <c r="O253" s="564"/>
    </row>
    <row r="254" spans="1:17">
      <c r="C254" s="507"/>
      <c r="D254" s="506"/>
      <c r="E254" s="506"/>
      <c r="F254" s="506"/>
      <c r="G254" s="506"/>
      <c r="H254" s="503"/>
      <c r="I254" s="503"/>
      <c r="J254" s="564"/>
      <c r="K254" s="564"/>
      <c r="L254" s="564"/>
      <c r="M254" s="564"/>
      <c r="N254" s="564"/>
      <c r="O254" s="564"/>
    </row>
    <row r="255" spans="1:17" ht="20.25">
      <c r="A255" s="447" t="str">
        <f>""&amp;A179&amp;" Worksheet K -  ATRR TRUE-UP Calculation for PJM Projects Charged to Benefiting Zones"</f>
        <v xml:space="preserve"> Worksheet K -  ATRR TRUE-UP Calculation for PJM Projects Charged to Benefiting Zones</v>
      </c>
      <c r="B255" s="3"/>
      <c r="C255" s="3"/>
      <c r="D255" s="47"/>
      <c r="E255" s="3"/>
      <c r="F255" s="489"/>
      <c r="G255" s="489"/>
      <c r="H255" s="3"/>
      <c r="I255" s="490"/>
      <c r="L255" s="398"/>
      <c r="M255" s="398"/>
      <c r="N255" s="398"/>
      <c r="O255" s="398" t="str">
        <f>"Page "&amp;SUM(Q$8:Q255)&amp;" of "</f>
        <v xml:space="preserve">Page 3 of </v>
      </c>
      <c r="P255" s="448">
        <f>COUNT(Q$8:Q$56657)</f>
        <v>10</v>
      </c>
      <c r="Q255">
        <v>1</v>
      </c>
    </row>
    <row r="256" spans="1:17">
      <c r="B256" s="3"/>
      <c r="C256" s="3"/>
      <c r="D256" s="47"/>
      <c r="E256" s="3"/>
      <c r="F256" s="3"/>
      <c r="G256" s="3"/>
      <c r="H256" s="3"/>
      <c r="I256" s="490"/>
      <c r="J256" s="3"/>
      <c r="K256" s="3"/>
    </row>
    <row r="257" spans="1:16" ht="18">
      <c r="B257" s="449" t="s">
        <v>472</v>
      </c>
      <c r="C257" s="122" t="s">
        <v>93</v>
      </c>
      <c r="D257" s="47"/>
      <c r="E257" s="3"/>
      <c r="F257" s="3"/>
      <c r="G257" s="3"/>
      <c r="H257" s="3"/>
      <c r="I257" s="490"/>
      <c r="J257" s="490"/>
      <c r="K257" s="503"/>
      <c r="L257" s="490"/>
      <c r="M257" s="490"/>
      <c r="N257" s="490"/>
      <c r="O257" s="490"/>
    </row>
    <row r="258" spans="1:16" ht="18.75">
      <c r="B258" s="449"/>
      <c r="C258" s="6"/>
      <c r="D258" s="47"/>
      <c r="E258" s="3"/>
      <c r="F258" s="3"/>
      <c r="G258" s="3"/>
      <c r="H258" s="3"/>
      <c r="I258" s="490"/>
      <c r="J258" s="490"/>
      <c r="K258" s="503"/>
      <c r="L258" s="490"/>
      <c r="M258" s="490"/>
      <c r="N258" s="490"/>
      <c r="O258" s="490"/>
    </row>
    <row r="259" spans="1:16" ht="18.75">
      <c r="B259" s="449"/>
      <c r="C259" s="6" t="s">
        <v>94</v>
      </c>
      <c r="D259" s="47"/>
      <c r="E259" s="3"/>
      <c r="F259" s="3"/>
      <c r="G259" s="3"/>
      <c r="H259" s="3"/>
      <c r="I259" s="490"/>
      <c r="J259" s="490"/>
      <c r="K259" s="503"/>
      <c r="L259" s="490"/>
      <c r="M259" s="490"/>
      <c r="N259" s="490"/>
      <c r="O259" s="490"/>
    </row>
    <row r="260" spans="1:16" ht="15.75" thickBot="1">
      <c r="C260" s="132"/>
      <c r="D260" s="47"/>
      <c r="E260" s="3"/>
      <c r="F260" s="3"/>
      <c r="G260" s="3"/>
      <c r="H260" s="3"/>
      <c r="I260" s="490"/>
      <c r="J260" s="490"/>
      <c r="K260" s="503"/>
      <c r="L260" s="490"/>
      <c r="M260" s="490"/>
      <c r="N260" s="490"/>
      <c r="O260" s="490"/>
    </row>
    <row r="261" spans="1:16" ht="15.75">
      <c r="C261" s="451" t="s">
        <v>95</v>
      </c>
      <c r="D261" s="47"/>
      <c r="E261" s="3"/>
      <c r="F261" s="3"/>
      <c r="G261" s="3"/>
      <c r="H261" s="566"/>
      <c r="I261" s="3" t="s">
        <v>74</v>
      </c>
      <c r="J261" s="3"/>
      <c r="K261" s="3"/>
      <c r="L261" s="593">
        <f>+J267</f>
        <v>2025</v>
      </c>
      <c r="M261" s="576" t="s">
        <v>52</v>
      </c>
      <c r="N261" s="576" t="s">
        <v>53</v>
      </c>
      <c r="O261" s="577" t="s">
        <v>55</v>
      </c>
    </row>
    <row r="262" spans="1:16" ht="15.75">
      <c r="C262" s="451"/>
      <c r="D262" s="47"/>
      <c r="E262" s="3"/>
      <c r="F262" s="3"/>
      <c r="H262" s="3"/>
      <c r="I262" s="513"/>
      <c r="J262" s="513"/>
      <c r="K262" s="514"/>
      <c r="L262" s="594" t="s">
        <v>243</v>
      </c>
      <c r="M262" s="595">
        <f>VLOOKUP(J267,C274:P333,10)</f>
        <v>615330.93892352469</v>
      </c>
      <c r="N262" s="595">
        <f>VLOOKUP(J267,C274:P333,12)</f>
        <v>615330.93892352469</v>
      </c>
      <c r="O262" s="596">
        <f>+N262-M262</f>
        <v>0</v>
      </c>
    </row>
    <row r="263" spans="1:16" ht="12.95" customHeight="1">
      <c r="C263" s="518" t="s">
        <v>96</v>
      </c>
      <c r="D263" s="1210" t="s">
        <v>815</v>
      </c>
      <c r="E263" s="1210"/>
      <c r="F263" s="1210"/>
      <c r="G263" s="1210"/>
      <c r="H263" s="1210"/>
      <c r="I263" s="1210"/>
      <c r="J263" s="490"/>
      <c r="K263" s="503"/>
      <c r="L263" s="594" t="s">
        <v>244</v>
      </c>
      <c r="M263" s="597">
        <f>VLOOKUP(J267,C274:P333,6)</f>
        <v>597164.83570587309</v>
      </c>
      <c r="N263" s="597">
        <f>VLOOKUP(J267,C274:P333,7)</f>
        <v>597164.83570587309</v>
      </c>
      <c r="O263" s="598">
        <f>+N263-M263</f>
        <v>0</v>
      </c>
    </row>
    <row r="264" spans="1:16" ht="13.5" thickBot="1">
      <c r="C264" s="522"/>
      <c r="D264" s="1210"/>
      <c r="E264" s="1210"/>
      <c r="F264" s="1210"/>
      <c r="G264" s="1210"/>
      <c r="H264" s="1210"/>
      <c r="I264" s="1210"/>
      <c r="J264" s="490"/>
      <c r="K264" s="503"/>
      <c r="L264" s="533" t="s">
        <v>245</v>
      </c>
      <c r="M264" s="599">
        <f>+M263-M262</f>
        <v>-18166.103217651602</v>
      </c>
      <c r="N264" s="599">
        <f>+N263-N262</f>
        <v>-18166.103217651602</v>
      </c>
      <c r="O264" s="600">
        <f>+O263-O262</f>
        <v>0</v>
      </c>
    </row>
    <row r="265" spans="1:16" ht="13.5" thickBot="1">
      <c r="C265" s="522"/>
      <c r="D265" s="3"/>
      <c r="E265" s="524"/>
      <c r="F265" s="524"/>
      <c r="G265" s="524"/>
      <c r="H265" s="524"/>
      <c r="I265" s="524"/>
      <c r="J265" s="524"/>
      <c r="K265" s="524"/>
      <c r="L265" s="524"/>
      <c r="M265" s="524"/>
      <c r="N265" s="524"/>
      <c r="O265" s="524"/>
    </row>
    <row r="266" spans="1:16" ht="13.5" thickBot="1">
      <c r="C266" s="525" t="s">
        <v>97</v>
      </c>
      <c r="D266" s="526"/>
      <c r="E266" s="526"/>
      <c r="F266" s="526"/>
      <c r="G266" s="526"/>
      <c r="H266" s="526"/>
      <c r="I266" s="526"/>
      <c r="J266" s="526"/>
    </row>
    <row r="267" spans="1:16" ht="15">
      <c r="A267" s="978"/>
      <c r="C267" s="528" t="s">
        <v>75</v>
      </c>
      <c r="D267" s="568">
        <v>5805542.5700000003</v>
      </c>
      <c r="E267" s="3" t="s">
        <v>76</v>
      </c>
      <c r="H267" s="47"/>
      <c r="I267" s="47"/>
      <c r="J267" s="529">
        <f>$J$93</f>
        <v>2025</v>
      </c>
      <c r="K267" s="70"/>
      <c r="L267" s="1211" t="s">
        <v>77</v>
      </c>
      <c r="M267" s="1211"/>
      <c r="N267" s="1211"/>
      <c r="O267" s="1211"/>
    </row>
    <row r="268" spans="1:16">
      <c r="C268" s="528" t="s">
        <v>78</v>
      </c>
      <c r="D268" s="569">
        <v>2013</v>
      </c>
      <c r="E268" s="528" t="s">
        <v>79</v>
      </c>
      <c r="F268" s="47"/>
      <c r="G268" s="47"/>
      <c r="I268"/>
      <c r="J268" s="570">
        <f>IF(H261="",0,$F$17)</f>
        <v>0</v>
      </c>
      <c r="K268" s="530"/>
      <c r="L268" s="503" t="s">
        <v>285</v>
      </c>
    </row>
    <row r="269" spans="1:16">
      <c r="C269" s="528" t="s">
        <v>80</v>
      </c>
      <c r="D269" s="568">
        <v>12</v>
      </c>
      <c r="E269" s="528" t="s">
        <v>81</v>
      </c>
      <c r="F269" s="47"/>
      <c r="G269" s="47"/>
      <c r="I269"/>
      <c r="J269" s="531">
        <f>$F$70</f>
        <v>0.11032660055737779</v>
      </c>
      <c r="K269" s="489"/>
      <c r="L269" s="3" t="str">
        <f>"          INPUT TRUE-UP ARR (WITH &amp; WITHOUT INCENTIVES) FROM EACH PRIOR YEAR"</f>
        <v xml:space="preserve">          INPUT TRUE-UP ARR (WITH &amp; WITHOUT INCENTIVES) FROM EACH PRIOR YEAR</v>
      </c>
    </row>
    <row r="270" spans="1:16">
      <c r="C270" s="528" t="s">
        <v>82</v>
      </c>
      <c r="D270" s="532">
        <f>H$79</f>
        <v>36</v>
      </c>
      <c r="E270" s="528" t="s">
        <v>83</v>
      </c>
      <c r="F270" s="47"/>
      <c r="G270" s="47"/>
      <c r="I270"/>
      <c r="J270" s="531">
        <f>IF(H261="",+J269,$F$69)</f>
        <v>0.11032660055737779</v>
      </c>
      <c r="K270" s="489"/>
      <c r="L270" s="3" t="s">
        <v>165</v>
      </c>
      <c r="M270" s="489"/>
      <c r="N270" s="489"/>
      <c r="O270" s="489"/>
    </row>
    <row r="271" spans="1:16" ht="13.5" thickBot="1">
      <c r="C271" s="528" t="s">
        <v>84</v>
      </c>
      <c r="D271" s="969" t="s">
        <v>812</v>
      </c>
      <c r="E271" s="533" t="s">
        <v>85</v>
      </c>
      <c r="F271" s="534"/>
      <c r="G271" s="534"/>
      <c r="H271" s="535"/>
      <c r="I271" s="535"/>
      <c r="J271" s="521">
        <f>IF(D267=0,0,D267/D270)</f>
        <v>161265.0713888889</v>
      </c>
      <c r="K271" s="503"/>
      <c r="L271" s="503" t="s">
        <v>166</v>
      </c>
      <c r="M271" s="503"/>
      <c r="N271" s="503"/>
      <c r="O271" s="503"/>
    </row>
    <row r="272" spans="1:16" ht="38.25">
      <c r="B272" s="450"/>
      <c r="C272" s="536" t="s">
        <v>75</v>
      </c>
      <c r="D272" s="537" t="s">
        <v>86</v>
      </c>
      <c r="E272" s="538" t="s">
        <v>87</v>
      </c>
      <c r="F272" s="537" t="s">
        <v>88</v>
      </c>
      <c r="G272" s="537" t="s">
        <v>246</v>
      </c>
      <c r="H272" s="538" t="s">
        <v>159</v>
      </c>
      <c r="I272" s="539" t="s">
        <v>159</v>
      </c>
      <c r="J272" s="536" t="s">
        <v>98</v>
      </c>
      <c r="K272" s="540"/>
      <c r="L272" s="538" t="s">
        <v>161</v>
      </c>
      <c r="M272" s="538" t="s">
        <v>167</v>
      </c>
      <c r="N272" s="538" t="s">
        <v>161</v>
      </c>
      <c r="O272" s="538" t="s">
        <v>169</v>
      </c>
      <c r="P272" s="538" t="s">
        <v>89</v>
      </c>
    </row>
    <row r="273" spans="3:16" ht="13.5" thickBot="1">
      <c r="C273" s="542" t="s">
        <v>475</v>
      </c>
      <c r="D273" s="543" t="s">
        <v>476</v>
      </c>
      <c r="E273" s="542" t="s">
        <v>369</v>
      </c>
      <c r="F273" s="543" t="s">
        <v>476</v>
      </c>
      <c r="G273" s="543" t="s">
        <v>476</v>
      </c>
      <c r="H273" s="544" t="s">
        <v>101</v>
      </c>
      <c r="I273" s="545" t="s">
        <v>103</v>
      </c>
      <c r="J273" s="542" t="s">
        <v>15</v>
      </c>
      <c r="K273" s="546"/>
      <c r="L273" s="544" t="s">
        <v>90</v>
      </c>
      <c r="M273" s="544" t="s">
        <v>90</v>
      </c>
      <c r="N273" s="544" t="s">
        <v>263</v>
      </c>
      <c r="O273" s="544" t="s">
        <v>263</v>
      </c>
      <c r="P273" s="544" t="s">
        <v>263</v>
      </c>
    </row>
    <row r="274" spans="3:16">
      <c r="C274" s="548">
        <f>IF(D268= "","-",D268)</f>
        <v>2013</v>
      </c>
      <c r="D274" s="506">
        <f>+D267</f>
        <v>5805542.5700000003</v>
      </c>
      <c r="E274" s="554">
        <f>+J271/12*(12-D269)</f>
        <v>0</v>
      </c>
      <c r="F274" s="601">
        <f t="shared" ref="F274:F333" si="17">+D274-E274</f>
        <v>5805542.5700000003</v>
      </c>
      <c r="G274" s="506">
        <f>+(D274+F274)/2</f>
        <v>5805542.5700000003</v>
      </c>
      <c r="H274" s="550">
        <f>+J269*G274+E274</f>
        <v>640505.77613924257</v>
      </c>
      <c r="I274" s="551">
        <f>+J270*G274+E274</f>
        <v>640505.77613924257</v>
      </c>
      <c r="J274" s="552">
        <f>+I274-H274</f>
        <v>0</v>
      </c>
      <c r="K274" s="552"/>
      <c r="L274" s="571">
        <v>461439</v>
      </c>
      <c r="M274" s="602">
        <f t="shared" ref="M274:M333" si="18">IF(L274&lt;&gt;0,+H274-L274,0)</f>
        <v>179066.77613924257</v>
      </c>
      <c r="N274" s="571">
        <v>461439</v>
      </c>
      <c r="O274" s="602">
        <f t="shared" ref="O274:O333" si="19">IF(N274&lt;&gt;0,+I274-N274,0)</f>
        <v>179066.77613924257</v>
      </c>
      <c r="P274" s="602">
        <f t="shared" ref="P274:P333" si="20">+O274-M274</f>
        <v>0</v>
      </c>
    </row>
    <row r="275" spans="3:16">
      <c r="C275" s="548">
        <f>IF(D268="","-",+C274+1)</f>
        <v>2014</v>
      </c>
      <c r="D275" s="506">
        <f t="shared" ref="D275:D327" si="21">F274</f>
        <v>5805542.5700000003</v>
      </c>
      <c r="E275" s="549">
        <f>IF(D275&gt;$J$271,$J$271,D275)</f>
        <v>161265.0713888889</v>
      </c>
      <c r="F275" s="549">
        <f t="shared" si="17"/>
        <v>5644277.4986111112</v>
      </c>
      <c r="G275" s="506">
        <f t="shared" ref="G275:G333" si="22">+(D275+F275)/2</f>
        <v>5724910.0343055557</v>
      </c>
      <c r="H275" s="554">
        <f>+J269*G275+E275</f>
        <v>792874.93397064193</v>
      </c>
      <c r="I275" s="555">
        <f>+J270*G275+E275</f>
        <v>792874.93397064193</v>
      </c>
      <c r="J275" s="552">
        <f>+I275-H275</f>
        <v>0</v>
      </c>
      <c r="K275" s="552"/>
      <c r="L275" s="572">
        <v>626067</v>
      </c>
      <c r="M275" s="552">
        <f t="shared" si="18"/>
        <v>166807.93397064193</v>
      </c>
      <c r="N275" s="572">
        <v>626067</v>
      </c>
      <c r="O275" s="552">
        <f t="shared" si="19"/>
        <v>166807.93397064193</v>
      </c>
      <c r="P275" s="552">
        <f t="shared" si="20"/>
        <v>0</v>
      </c>
    </row>
    <row r="276" spans="3:16">
      <c r="C276" s="548">
        <f>IF(D268="","-",+C275+1)</f>
        <v>2015</v>
      </c>
      <c r="D276" s="506">
        <f t="shared" si="21"/>
        <v>5644277.4986111112</v>
      </c>
      <c r="E276" s="549">
        <f t="shared" ref="E276:E333" si="23">IF(D276&gt;$J$271,$J$271,D276)</f>
        <v>161265.0713888889</v>
      </c>
      <c r="F276" s="549">
        <f t="shared" si="17"/>
        <v>5483012.4272222221</v>
      </c>
      <c r="G276" s="506">
        <f t="shared" si="22"/>
        <v>5563644.9629166666</v>
      </c>
      <c r="H276" s="554">
        <f>+J269*G276+E276</f>
        <v>775083.10685566289</v>
      </c>
      <c r="I276" s="555">
        <f>+J270*G276+E276</f>
        <v>775083.10685566289</v>
      </c>
      <c r="J276" s="552">
        <f t="shared" ref="J276:J333" si="24">+I276-H276</f>
        <v>0</v>
      </c>
      <c r="K276" s="552"/>
      <c r="L276" s="572">
        <v>697699</v>
      </c>
      <c r="M276" s="552">
        <f t="shared" si="18"/>
        <v>77384.106855662889</v>
      </c>
      <c r="N276" s="572">
        <v>697699</v>
      </c>
      <c r="O276" s="552">
        <f t="shared" si="19"/>
        <v>77384.106855662889</v>
      </c>
      <c r="P276" s="552">
        <f t="shared" si="20"/>
        <v>0</v>
      </c>
    </row>
    <row r="277" spans="3:16">
      <c r="C277" s="548">
        <f>IF(D268="","-",+C276+1)</f>
        <v>2016</v>
      </c>
      <c r="D277" s="506">
        <f t="shared" si="21"/>
        <v>5483012.4272222221</v>
      </c>
      <c r="E277" s="549">
        <f t="shared" si="23"/>
        <v>161265.0713888889</v>
      </c>
      <c r="F277" s="549">
        <f t="shared" si="17"/>
        <v>5321747.355833333</v>
      </c>
      <c r="G277" s="506">
        <f t="shared" si="22"/>
        <v>5402379.8915277775</v>
      </c>
      <c r="H277" s="554">
        <f>+J269*G277+E277</f>
        <v>757291.27974068397</v>
      </c>
      <c r="I277" s="555">
        <f>+J270*G277+E277</f>
        <v>757291.27974068397</v>
      </c>
      <c r="J277" s="552">
        <f t="shared" si="24"/>
        <v>0</v>
      </c>
      <c r="K277" s="552"/>
      <c r="L277" s="572">
        <v>692483</v>
      </c>
      <c r="M277" s="552">
        <f t="shared" si="18"/>
        <v>64808.279740683967</v>
      </c>
      <c r="N277" s="572">
        <v>692483</v>
      </c>
      <c r="O277" s="552">
        <f t="shared" si="19"/>
        <v>64808.279740683967</v>
      </c>
      <c r="P277" s="552">
        <f t="shared" si="20"/>
        <v>0</v>
      </c>
    </row>
    <row r="278" spans="3:16">
      <c r="C278" s="548">
        <f>IF(D268="","-",+C277+1)</f>
        <v>2017</v>
      </c>
      <c r="D278" s="506">
        <f t="shared" si="21"/>
        <v>5321747.355833333</v>
      </c>
      <c r="E278" s="549">
        <f t="shared" si="23"/>
        <v>161265.0713888889</v>
      </c>
      <c r="F278" s="549">
        <f t="shared" si="17"/>
        <v>5160482.2844444439</v>
      </c>
      <c r="G278" s="506">
        <f t="shared" si="22"/>
        <v>5241114.8201388884</v>
      </c>
      <c r="H278" s="554">
        <f>+J269*G278+E278</f>
        <v>739499.45262570493</v>
      </c>
      <c r="I278" s="555">
        <f>+J270*G278+E278</f>
        <v>739499.45262570493</v>
      </c>
      <c r="J278" s="552">
        <f t="shared" si="24"/>
        <v>0</v>
      </c>
      <c r="K278" s="552"/>
      <c r="L278" s="572">
        <v>737310</v>
      </c>
      <c r="M278" s="552">
        <f t="shared" si="18"/>
        <v>2189.4526257049292</v>
      </c>
      <c r="N278" s="572">
        <v>737310</v>
      </c>
      <c r="O278" s="552">
        <f t="shared" si="19"/>
        <v>2189.4526257049292</v>
      </c>
      <c r="P278" s="552">
        <f t="shared" si="20"/>
        <v>0</v>
      </c>
    </row>
    <row r="279" spans="3:16">
      <c r="C279" s="548">
        <f>IF(D268="","-",+C278+1)</f>
        <v>2018</v>
      </c>
      <c r="D279" s="506">
        <f t="shared" si="21"/>
        <v>5160482.2844444439</v>
      </c>
      <c r="E279" s="549">
        <f t="shared" si="23"/>
        <v>161265.0713888889</v>
      </c>
      <c r="F279" s="549">
        <f t="shared" si="17"/>
        <v>4999217.2130555548</v>
      </c>
      <c r="G279" s="506">
        <f t="shared" si="22"/>
        <v>5079849.7487499993</v>
      </c>
      <c r="H279" s="554">
        <f>+J269*G279+E279</f>
        <v>721707.62551072601</v>
      </c>
      <c r="I279" s="555">
        <f>+J270*G279+E279</f>
        <v>721707.62551072601</v>
      </c>
      <c r="J279" s="552">
        <f t="shared" si="24"/>
        <v>0</v>
      </c>
      <c r="K279" s="552"/>
      <c r="L279" s="572">
        <v>631912</v>
      </c>
      <c r="M279" s="552">
        <f t="shared" si="18"/>
        <v>89795.625510726008</v>
      </c>
      <c r="N279" s="572">
        <v>631912</v>
      </c>
      <c r="O279" s="552">
        <f t="shared" si="19"/>
        <v>89795.625510726008</v>
      </c>
      <c r="P279" s="552">
        <f t="shared" si="20"/>
        <v>0</v>
      </c>
    </row>
    <row r="280" spans="3:16">
      <c r="C280" s="548">
        <f>IF(D268="","-",+C279+1)</f>
        <v>2019</v>
      </c>
      <c r="D280" s="970">
        <f t="shared" si="21"/>
        <v>4999217.2130555548</v>
      </c>
      <c r="E280" s="549">
        <f t="shared" si="23"/>
        <v>161265.0713888889</v>
      </c>
      <c r="F280" s="549">
        <f t="shared" si="17"/>
        <v>4837952.1416666657</v>
      </c>
      <c r="G280" s="506">
        <f t="shared" si="22"/>
        <v>4918584.6773611102</v>
      </c>
      <c r="H280" s="554">
        <f>+J269*G280+E280</f>
        <v>703915.79839574697</v>
      </c>
      <c r="I280" s="555">
        <f>+J270*G280+E280</f>
        <v>703915.79839574697</v>
      </c>
      <c r="J280" s="552">
        <f t="shared" si="24"/>
        <v>0</v>
      </c>
      <c r="K280" s="552"/>
      <c r="L280" s="572">
        <v>663516</v>
      </c>
      <c r="M280" s="552">
        <f t="shared" si="18"/>
        <v>40399.79839574697</v>
      </c>
      <c r="N280" s="572">
        <v>663516</v>
      </c>
      <c r="O280" s="552">
        <f t="shared" si="19"/>
        <v>40399.79839574697</v>
      </c>
      <c r="P280" s="552">
        <f t="shared" si="20"/>
        <v>0</v>
      </c>
    </row>
    <row r="281" spans="3:16">
      <c r="C281" s="548">
        <f>IF(D268="","-",+C280+1)</f>
        <v>2020</v>
      </c>
      <c r="D281" s="506">
        <f t="shared" si="21"/>
        <v>4837952.1416666657</v>
      </c>
      <c r="E281" s="549">
        <f t="shared" si="23"/>
        <v>161265.0713888889</v>
      </c>
      <c r="F281" s="549">
        <f t="shared" si="17"/>
        <v>4676687.0702777766</v>
      </c>
      <c r="G281" s="506">
        <f t="shared" si="22"/>
        <v>4757319.6059722211</v>
      </c>
      <c r="H281" s="554">
        <f>+J269*G281+E281</f>
        <v>686123.97128076805</v>
      </c>
      <c r="I281" s="555">
        <f>+J270*G281+E281</f>
        <v>686123.97128076805</v>
      </c>
      <c r="J281" s="552">
        <f t="shared" si="24"/>
        <v>0</v>
      </c>
      <c r="K281" s="552"/>
      <c r="L281" s="572">
        <v>671524.69930000929</v>
      </c>
      <c r="M281" s="552">
        <f t="shared" si="18"/>
        <v>14599.271980758756</v>
      </c>
      <c r="N281" s="572">
        <v>671524.69930000929</v>
      </c>
      <c r="O281" s="552">
        <f t="shared" si="19"/>
        <v>14599.271980758756</v>
      </c>
      <c r="P281" s="552">
        <f t="shared" si="20"/>
        <v>0</v>
      </c>
    </row>
    <row r="282" spans="3:16">
      <c r="C282" s="548">
        <f>IF(D268="","-",+C281+1)</f>
        <v>2021</v>
      </c>
      <c r="D282" s="506">
        <f t="shared" si="21"/>
        <v>4676687.0702777766</v>
      </c>
      <c r="E282" s="549">
        <f t="shared" si="23"/>
        <v>161265.0713888889</v>
      </c>
      <c r="F282" s="549">
        <f t="shared" si="17"/>
        <v>4515421.9988888875</v>
      </c>
      <c r="G282" s="506">
        <f t="shared" si="22"/>
        <v>4596054.534583332</v>
      </c>
      <c r="H282" s="554">
        <f>+J269*G282+E282</f>
        <v>668332.14416578913</v>
      </c>
      <c r="I282" s="555">
        <f>+J270*G282+E282</f>
        <v>668332.14416578913</v>
      </c>
      <c r="J282" s="552">
        <f t="shared" si="24"/>
        <v>0</v>
      </c>
      <c r="K282" s="552"/>
      <c r="L282" s="572">
        <v>658579.34236016381</v>
      </c>
      <c r="M282" s="552">
        <f t="shared" si="18"/>
        <v>9752.8018056253204</v>
      </c>
      <c r="N282" s="572">
        <v>658579.34236016381</v>
      </c>
      <c r="O282" s="552">
        <f t="shared" si="19"/>
        <v>9752.8018056253204</v>
      </c>
      <c r="P282" s="552">
        <f t="shared" si="20"/>
        <v>0</v>
      </c>
    </row>
    <row r="283" spans="3:16">
      <c r="C283" s="548">
        <f>IF(D268="","-",+C282+1)</f>
        <v>2022</v>
      </c>
      <c r="D283" s="506">
        <f t="shared" si="21"/>
        <v>4515421.9988888875</v>
      </c>
      <c r="E283" s="549">
        <f t="shared" si="23"/>
        <v>161265.0713888889</v>
      </c>
      <c r="F283" s="549">
        <f t="shared" si="17"/>
        <v>4354156.9274999984</v>
      </c>
      <c r="G283" s="506">
        <f t="shared" si="22"/>
        <v>4434789.4631944429</v>
      </c>
      <c r="H283" s="554">
        <f>+J269*G283+E283</f>
        <v>650540.31705081009</v>
      </c>
      <c r="I283" s="555">
        <f>+J270*G283+E283</f>
        <v>650540.31705081009</v>
      </c>
      <c r="J283" s="552">
        <f t="shared" si="24"/>
        <v>0</v>
      </c>
      <c r="K283" s="552"/>
      <c r="L283" s="572">
        <v>667726.0237932466</v>
      </c>
      <c r="M283" s="552">
        <f t="shared" si="18"/>
        <v>-17185.706742436509</v>
      </c>
      <c r="N283" s="572">
        <v>667726.0237932466</v>
      </c>
      <c r="O283" s="552">
        <f t="shared" si="19"/>
        <v>-17185.706742436509</v>
      </c>
      <c r="P283" s="552">
        <f t="shared" si="20"/>
        <v>0</v>
      </c>
    </row>
    <row r="284" spans="3:16">
      <c r="C284" s="548">
        <f>IF(D268="","-",+C283+1)</f>
        <v>2023</v>
      </c>
      <c r="D284" s="506">
        <f t="shared" si="21"/>
        <v>4354156.9274999984</v>
      </c>
      <c r="E284" s="549">
        <f t="shared" si="23"/>
        <v>161265.0713888889</v>
      </c>
      <c r="F284" s="549">
        <f t="shared" si="17"/>
        <v>4192891.8561111093</v>
      </c>
      <c r="G284" s="506">
        <f t="shared" si="22"/>
        <v>4273524.3918055538</v>
      </c>
      <c r="H284" s="554">
        <f>+J269*G284+E284</f>
        <v>632748.48993583117</v>
      </c>
      <c r="I284" s="555">
        <f>+J270*G284+E284</f>
        <v>632748.48993583117</v>
      </c>
      <c r="J284" s="552">
        <f t="shared" si="24"/>
        <v>0</v>
      </c>
      <c r="K284" s="552"/>
      <c r="L284" s="572">
        <v>649493.20011360268</v>
      </c>
      <c r="M284" s="552">
        <f t="shared" si="18"/>
        <v>-16744.710177771514</v>
      </c>
      <c r="N284" s="572">
        <v>649493.20011360268</v>
      </c>
      <c r="O284" s="552">
        <f t="shared" si="19"/>
        <v>-16744.710177771514</v>
      </c>
      <c r="P284" s="552">
        <f t="shared" si="20"/>
        <v>0</v>
      </c>
    </row>
    <row r="285" spans="3:16">
      <c r="C285" s="548">
        <f>IF(D268="","-",+C284+1)</f>
        <v>2024</v>
      </c>
      <c r="D285" s="506">
        <f t="shared" si="21"/>
        <v>4192891.8561111093</v>
      </c>
      <c r="E285" s="549">
        <f t="shared" si="23"/>
        <v>161265.0713888889</v>
      </c>
      <c r="F285" s="549">
        <f t="shared" si="17"/>
        <v>4031626.7847222202</v>
      </c>
      <c r="G285" s="506">
        <f t="shared" si="22"/>
        <v>4112259.3204166647</v>
      </c>
      <c r="H285" s="554">
        <f>+J269*G285+E285</f>
        <v>614956.66282085213</v>
      </c>
      <c r="I285" s="555">
        <f>+J270*G285+E285</f>
        <v>614956.66282085213</v>
      </c>
      <c r="J285" s="552">
        <f t="shared" si="24"/>
        <v>0</v>
      </c>
      <c r="K285" s="552"/>
      <c r="L285" s="572">
        <v>627582.97079905041</v>
      </c>
      <c r="M285" s="552">
        <f t="shared" si="18"/>
        <v>-12626.307978198281</v>
      </c>
      <c r="N285" s="572">
        <v>627582.97079905041</v>
      </c>
      <c r="O285" s="552">
        <f t="shared" si="19"/>
        <v>-12626.307978198281</v>
      </c>
      <c r="P285" s="552">
        <f t="shared" si="20"/>
        <v>0</v>
      </c>
    </row>
    <row r="286" spans="3:16">
      <c r="C286" s="548">
        <f>IF(D268="","-",+C285+1)</f>
        <v>2025</v>
      </c>
      <c r="D286" s="506">
        <f t="shared" si="21"/>
        <v>4031626.7847222202</v>
      </c>
      <c r="E286" s="549">
        <f t="shared" si="23"/>
        <v>161265.0713888889</v>
      </c>
      <c r="F286" s="549">
        <f t="shared" si="17"/>
        <v>3870361.713333331</v>
      </c>
      <c r="G286" s="506">
        <f t="shared" si="22"/>
        <v>3950994.2490277756</v>
      </c>
      <c r="H286" s="554">
        <f>+J269*G286+E286</f>
        <v>597164.83570587309</v>
      </c>
      <c r="I286" s="555">
        <f>+J270*G286+E286</f>
        <v>597164.83570587309</v>
      </c>
      <c r="J286" s="552">
        <f t="shared" si="24"/>
        <v>0</v>
      </c>
      <c r="K286" s="552"/>
      <c r="L286" s="572">
        <v>615330.93892352469</v>
      </c>
      <c r="M286" s="552">
        <f t="shared" si="18"/>
        <v>-18166.103217651602</v>
      </c>
      <c r="N286" s="572">
        <v>615330.93892352469</v>
      </c>
      <c r="O286" s="552">
        <f t="shared" si="19"/>
        <v>-18166.103217651602</v>
      </c>
      <c r="P286" s="552">
        <f t="shared" si="20"/>
        <v>0</v>
      </c>
    </row>
    <row r="287" spans="3:16">
      <c r="C287" s="548">
        <f>IF(D268="","-",+C286+1)</f>
        <v>2026</v>
      </c>
      <c r="D287" s="506">
        <f t="shared" si="21"/>
        <v>3870361.713333331</v>
      </c>
      <c r="E287" s="549">
        <f t="shared" si="23"/>
        <v>161265.0713888889</v>
      </c>
      <c r="F287" s="549">
        <f t="shared" si="17"/>
        <v>3709096.6419444419</v>
      </c>
      <c r="G287" s="506">
        <f t="shared" si="22"/>
        <v>3789729.1776388865</v>
      </c>
      <c r="H287" s="554">
        <f>+J269*G287+E287</f>
        <v>579373.00859089417</v>
      </c>
      <c r="I287" s="555">
        <f>+J270*G287+E287</f>
        <v>579373.00859089417</v>
      </c>
      <c r="J287" s="552">
        <f t="shared" si="24"/>
        <v>0</v>
      </c>
      <c r="K287" s="552"/>
      <c r="L287" s="572"/>
      <c r="M287" s="552">
        <f t="shared" si="18"/>
        <v>0</v>
      </c>
      <c r="N287" s="572"/>
      <c r="O287" s="552">
        <f t="shared" si="19"/>
        <v>0</v>
      </c>
      <c r="P287" s="552">
        <f t="shared" si="20"/>
        <v>0</v>
      </c>
    </row>
    <row r="288" spans="3:16">
      <c r="C288" s="548">
        <f>IF(D268="","-",+C287+1)</f>
        <v>2027</v>
      </c>
      <c r="D288" s="506">
        <f t="shared" si="21"/>
        <v>3709096.6419444419</v>
      </c>
      <c r="E288" s="549">
        <f t="shared" si="23"/>
        <v>161265.0713888889</v>
      </c>
      <c r="F288" s="549">
        <f t="shared" si="17"/>
        <v>3547831.5705555528</v>
      </c>
      <c r="G288" s="506">
        <f t="shared" si="22"/>
        <v>3628464.1062499974</v>
      </c>
      <c r="H288" s="554">
        <f>+J269*G288+E288</f>
        <v>561581.18147591513</v>
      </c>
      <c r="I288" s="555">
        <f>+J270*G288+E288</f>
        <v>561581.18147591513</v>
      </c>
      <c r="J288" s="552">
        <f t="shared" si="24"/>
        <v>0</v>
      </c>
      <c r="K288" s="552"/>
      <c r="L288" s="572"/>
      <c r="M288" s="552">
        <f t="shared" si="18"/>
        <v>0</v>
      </c>
      <c r="N288" s="572"/>
      <c r="O288" s="552">
        <f t="shared" si="19"/>
        <v>0</v>
      </c>
      <c r="P288" s="552">
        <f t="shared" si="20"/>
        <v>0</v>
      </c>
    </row>
    <row r="289" spans="3:16">
      <c r="C289" s="548">
        <f>IF(D268="","-",+C288+1)</f>
        <v>2028</v>
      </c>
      <c r="D289" s="506">
        <f t="shared" si="21"/>
        <v>3547831.5705555528</v>
      </c>
      <c r="E289" s="549">
        <f t="shared" si="23"/>
        <v>161265.0713888889</v>
      </c>
      <c r="F289" s="549">
        <f t="shared" si="17"/>
        <v>3386566.4991666637</v>
      </c>
      <c r="G289" s="506">
        <f t="shared" si="22"/>
        <v>3467199.0348611083</v>
      </c>
      <c r="H289" s="554">
        <f>+J269*G289+E289</f>
        <v>543789.35436093621</v>
      </c>
      <c r="I289" s="555">
        <f>+J270*G289+E289</f>
        <v>543789.35436093621</v>
      </c>
      <c r="J289" s="552">
        <f t="shared" si="24"/>
        <v>0</v>
      </c>
      <c r="K289" s="552"/>
      <c r="L289" s="572"/>
      <c r="M289" s="552">
        <f t="shared" si="18"/>
        <v>0</v>
      </c>
      <c r="N289" s="572"/>
      <c r="O289" s="552">
        <f t="shared" si="19"/>
        <v>0</v>
      </c>
      <c r="P289" s="552">
        <f t="shared" si="20"/>
        <v>0</v>
      </c>
    </row>
    <row r="290" spans="3:16">
      <c r="C290" s="548">
        <f>IF(D268="","-",+C289+1)</f>
        <v>2029</v>
      </c>
      <c r="D290" s="506">
        <f t="shared" si="21"/>
        <v>3386566.4991666637</v>
      </c>
      <c r="E290" s="549">
        <f t="shared" si="23"/>
        <v>161265.0713888889</v>
      </c>
      <c r="F290" s="549">
        <f t="shared" si="17"/>
        <v>3225301.4277777746</v>
      </c>
      <c r="G290" s="506">
        <f t="shared" si="22"/>
        <v>3305933.9634722192</v>
      </c>
      <c r="H290" s="554">
        <f>+J269*G290+E290</f>
        <v>525997.52724595717</v>
      </c>
      <c r="I290" s="555">
        <f>+J270*G290+E290</f>
        <v>525997.52724595717</v>
      </c>
      <c r="J290" s="552">
        <f t="shared" si="24"/>
        <v>0</v>
      </c>
      <c r="K290" s="552"/>
      <c r="L290" s="572"/>
      <c r="M290" s="552">
        <f t="shared" si="18"/>
        <v>0</v>
      </c>
      <c r="N290" s="572"/>
      <c r="O290" s="552">
        <f t="shared" si="19"/>
        <v>0</v>
      </c>
      <c r="P290" s="552">
        <f t="shared" si="20"/>
        <v>0</v>
      </c>
    </row>
    <row r="291" spans="3:16">
      <c r="C291" s="548">
        <f>IF(D268="","-",+C290+1)</f>
        <v>2030</v>
      </c>
      <c r="D291" s="506">
        <f t="shared" si="21"/>
        <v>3225301.4277777746</v>
      </c>
      <c r="E291" s="549">
        <f t="shared" si="23"/>
        <v>161265.0713888889</v>
      </c>
      <c r="F291" s="549">
        <f t="shared" si="17"/>
        <v>3064036.3563888855</v>
      </c>
      <c r="G291" s="506">
        <f t="shared" si="22"/>
        <v>3144668.8920833301</v>
      </c>
      <c r="H291" s="554">
        <f>+J269*G291+E291</f>
        <v>508205.70013097825</v>
      </c>
      <c r="I291" s="555">
        <f>+J270*G291+E291</f>
        <v>508205.70013097825</v>
      </c>
      <c r="J291" s="552">
        <f t="shared" si="24"/>
        <v>0</v>
      </c>
      <c r="K291" s="552"/>
      <c r="L291" s="572"/>
      <c r="M291" s="552">
        <f t="shared" si="18"/>
        <v>0</v>
      </c>
      <c r="N291" s="572"/>
      <c r="O291" s="552">
        <f t="shared" si="19"/>
        <v>0</v>
      </c>
      <c r="P291" s="552">
        <f t="shared" si="20"/>
        <v>0</v>
      </c>
    </row>
    <row r="292" spans="3:16">
      <c r="C292" s="548">
        <f>IF(D268="","-",+C291+1)</f>
        <v>2031</v>
      </c>
      <c r="D292" s="506">
        <f t="shared" si="21"/>
        <v>3064036.3563888855</v>
      </c>
      <c r="E292" s="549">
        <f t="shared" si="23"/>
        <v>161265.0713888889</v>
      </c>
      <c r="F292" s="549">
        <f t="shared" si="17"/>
        <v>2902771.2849999964</v>
      </c>
      <c r="G292" s="506">
        <f t="shared" si="22"/>
        <v>2983403.820694441</v>
      </c>
      <c r="H292" s="554">
        <f>+J269*G292+E292</f>
        <v>490413.87301599921</v>
      </c>
      <c r="I292" s="555">
        <f>+J270*G292+E292</f>
        <v>490413.87301599921</v>
      </c>
      <c r="J292" s="552">
        <f t="shared" si="24"/>
        <v>0</v>
      </c>
      <c r="K292" s="552"/>
      <c r="L292" s="572"/>
      <c r="M292" s="552">
        <f t="shared" si="18"/>
        <v>0</v>
      </c>
      <c r="N292" s="572"/>
      <c r="O292" s="552">
        <f t="shared" si="19"/>
        <v>0</v>
      </c>
      <c r="P292" s="552">
        <f t="shared" si="20"/>
        <v>0</v>
      </c>
    </row>
    <row r="293" spans="3:16">
      <c r="C293" s="548">
        <f>IF(D268="","-",+C292+1)</f>
        <v>2032</v>
      </c>
      <c r="D293" s="506">
        <f t="shared" si="21"/>
        <v>2902771.2849999964</v>
      </c>
      <c r="E293" s="549">
        <f t="shared" si="23"/>
        <v>161265.0713888889</v>
      </c>
      <c r="F293" s="549">
        <f t="shared" si="17"/>
        <v>2741506.2136111073</v>
      </c>
      <c r="G293" s="506">
        <f t="shared" si="22"/>
        <v>2822138.7493055519</v>
      </c>
      <c r="H293" s="554">
        <f>+J269*G293+E293</f>
        <v>472622.04590102029</v>
      </c>
      <c r="I293" s="555">
        <f>+J270*G293+E293</f>
        <v>472622.04590102029</v>
      </c>
      <c r="J293" s="552">
        <f t="shared" si="24"/>
        <v>0</v>
      </c>
      <c r="K293" s="552"/>
      <c r="L293" s="572"/>
      <c r="M293" s="552">
        <f t="shared" si="18"/>
        <v>0</v>
      </c>
      <c r="N293" s="572"/>
      <c r="O293" s="552">
        <f t="shared" si="19"/>
        <v>0</v>
      </c>
      <c r="P293" s="552">
        <f t="shared" si="20"/>
        <v>0</v>
      </c>
    </row>
    <row r="294" spans="3:16">
      <c r="C294" s="548">
        <f>IF(D268="","-",+C293+1)</f>
        <v>2033</v>
      </c>
      <c r="D294" s="506">
        <f t="shared" si="21"/>
        <v>2741506.2136111073</v>
      </c>
      <c r="E294" s="549">
        <f t="shared" si="23"/>
        <v>161265.0713888889</v>
      </c>
      <c r="F294" s="549">
        <f t="shared" si="17"/>
        <v>2580241.1422222182</v>
      </c>
      <c r="G294" s="506">
        <f t="shared" si="22"/>
        <v>2660873.6779166628</v>
      </c>
      <c r="H294" s="554">
        <f>+J269*G294+E294</f>
        <v>454830.21878604125</v>
      </c>
      <c r="I294" s="555">
        <f>+J270*G294+E294</f>
        <v>454830.21878604125</v>
      </c>
      <c r="J294" s="552">
        <f t="shared" si="24"/>
        <v>0</v>
      </c>
      <c r="K294" s="552"/>
      <c r="L294" s="572"/>
      <c r="M294" s="552">
        <f t="shared" si="18"/>
        <v>0</v>
      </c>
      <c r="N294" s="572"/>
      <c r="O294" s="552">
        <f t="shared" si="19"/>
        <v>0</v>
      </c>
      <c r="P294" s="552">
        <f t="shared" si="20"/>
        <v>0</v>
      </c>
    </row>
    <row r="295" spans="3:16">
      <c r="C295" s="548">
        <f>IF(D268="","-",+C294+1)</f>
        <v>2034</v>
      </c>
      <c r="D295" s="506">
        <f t="shared" si="21"/>
        <v>2580241.1422222182</v>
      </c>
      <c r="E295" s="549">
        <f t="shared" si="23"/>
        <v>161265.0713888889</v>
      </c>
      <c r="F295" s="549">
        <f t="shared" si="17"/>
        <v>2418976.0708333291</v>
      </c>
      <c r="G295" s="506">
        <f t="shared" si="22"/>
        <v>2499608.6065277737</v>
      </c>
      <c r="H295" s="554">
        <f>+J269*G295+E295</f>
        <v>437038.39167106233</v>
      </c>
      <c r="I295" s="555">
        <f>+J270*G295+E295</f>
        <v>437038.39167106233</v>
      </c>
      <c r="J295" s="552">
        <f t="shared" si="24"/>
        <v>0</v>
      </c>
      <c r="K295" s="552"/>
      <c r="L295" s="572"/>
      <c r="M295" s="552">
        <f t="shared" si="18"/>
        <v>0</v>
      </c>
      <c r="N295" s="572"/>
      <c r="O295" s="552">
        <f t="shared" si="19"/>
        <v>0</v>
      </c>
      <c r="P295" s="552">
        <f t="shared" si="20"/>
        <v>0</v>
      </c>
    </row>
    <row r="296" spans="3:16">
      <c r="C296" s="548">
        <f>IF(D268="","-",+C295+1)</f>
        <v>2035</v>
      </c>
      <c r="D296" s="506">
        <f t="shared" si="21"/>
        <v>2418976.0708333291</v>
      </c>
      <c r="E296" s="549">
        <f t="shared" si="23"/>
        <v>161265.0713888889</v>
      </c>
      <c r="F296" s="549">
        <f t="shared" si="17"/>
        <v>2257710.99944444</v>
      </c>
      <c r="G296" s="506">
        <f t="shared" si="22"/>
        <v>2338343.5351388846</v>
      </c>
      <c r="H296" s="554">
        <f>+J269*G296+E296</f>
        <v>419246.56455608329</v>
      </c>
      <c r="I296" s="555">
        <f>+J270*G296+E296</f>
        <v>419246.56455608329</v>
      </c>
      <c r="J296" s="552">
        <f t="shared" si="24"/>
        <v>0</v>
      </c>
      <c r="K296" s="552"/>
      <c r="L296" s="572"/>
      <c r="M296" s="552">
        <f t="shared" si="18"/>
        <v>0</v>
      </c>
      <c r="N296" s="572"/>
      <c r="O296" s="552">
        <f t="shared" si="19"/>
        <v>0</v>
      </c>
      <c r="P296" s="552">
        <f t="shared" si="20"/>
        <v>0</v>
      </c>
    </row>
    <row r="297" spans="3:16">
      <c r="C297" s="548">
        <f>IF(D268="","-",+C296+1)</f>
        <v>2036</v>
      </c>
      <c r="D297" s="506">
        <f t="shared" si="21"/>
        <v>2257710.99944444</v>
      </c>
      <c r="E297" s="549">
        <f t="shared" si="23"/>
        <v>161265.0713888889</v>
      </c>
      <c r="F297" s="549">
        <f t="shared" si="17"/>
        <v>2096445.9280555511</v>
      </c>
      <c r="G297" s="506">
        <f t="shared" si="22"/>
        <v>2177078.4637499955</v>
      </c>
      <c r="H297" s="554">
        <f>+J269*G297+E297</f>
        <v>401454.73744110437</v>
      </c>
      <c r="I297" s="555">
        <f>+J270*G297+E297</f>
        <v>401454.73744110437</v>
      </c>
      <c r="J297" s="552">
        <f t="shared" si="24"/>
        <v>0</v>
      </c>
      <c r="K297" s="552"/>
      <c r="L297" s="572"/>
      <c r="M297" s="552">
        <f t="shared" si="18"/>
        <v>0</v>
      </c>
      <c r="N297" s="572"/>
      <c r="O297" s="552">
        <f t="shared" si="19"/>
        <v>0</v>
      </c>
      <c r="P297" s="552">
        <f t="shared" si="20"/>
        <v>0</v>
      </c>
    </row>
    <row r="298" spans="3:16">
      <c r="C298" s="548">
        <f>IF(D268="","-",+C297+1)</f>
        <v>2037</v>
      </c>
      <c r="D298" s="506">
        <f t="shared" si="21"/>
        <v>2096445.9280555511</v>
      </c>
      <c r="E298" s="549">
        <f t="shared" si="23"/>
        <v>161265.0713888889</v>
      </c>
      <c r="F298" s="549">
        <f t="shared" si="17"/>
        <v>1935180.8566666623</v>
      </c>
      <c r="G298" s="506">
        <f t="shared" si="22"/>
        <v>2015813.3923611068</v>
      </c>
      <c r="H298" s="554">
        <f>+J269*G298+E298</f>
        <v>383662.91032612545</v>
      </c>
      <c r="I298" s="555">
        <f>+J270*G298+E298</f>
        <v>383662.91032612545</v>
      </c>
      <c r="J298" s="552">
        <f t="shared" si="24"/>
        <v>0</v>
      </c>
      <c r="K298" s="552"/>
      <c r="L298" s="572"/>
      <c r="M298" s="552">
        <f t="shared" si="18"/>
        <v>0</v>
      </c>
      <c r="N298" s="572"/>
      <c r="O298" s="552">
        <f t="shared" si="19"/>
        <v>0</v>
      </c>
      <c r="P298" s="552">
        <f t="shared" si="20"/>
        <v>0</v>
      </c>
    </row>
    <row r="299" spans="3:16">
      <c r="C299" s="548">
        <f>IF(D268="","-",+C298+1)</f>
        <v>2038</v>
      </c>
      <c r="D299" s="506">
        <f t="shared" si="21"/>
        <v>1935180.8566666623</v>
      </c>
      <c r="E299" s="549">
        <f t="shared" si="23"/>
        <v>161265.0713888889</v>
      </c>
      <c r="F299" s="549">
        <f t="shared" si="17"/>
        <v>1773915.7852777734</v>
      </c>
      <c r="G299" s="506">
        <f t="shared" si="22"/>
        <v>1854548.3209722177</v>
      </c>
      <c r="H299" s="554">
        <f>+J269*G299+E299</f>
        <v>365871.08321114641</v>
      </c>
      <c r="I299" s="555">
        <f>+J270*G299+E299</f>
        <v>365871.08321114641</v>
      </c>
      <c r="J299" s="552">
        <f t="shared" si="24"/>
        <v>0</v>
      </c>
      <c r="K299" s="552"/>
      <c r="L299" s="572"/>
      <c r="M299" s="552">
        <f t="shared" si="18"/>
        <v>0</v>
      </c>
      <c r="N299" s="572"/>
      <c r="O299" s="552">
        <f t="shared" si="19"/>
        <v>0</v>
      </c>
      <c r="P299" s="552">
        <f t="shared" si="20"/>
        <v>0</v>
      </c>
    </row>
    <row r="300" spans="3:16">
      <c r="C300" s="548">
        <f>IF(D268="","-",+C299+1)</f>
        <v>2039</v>
      </c>
      <c r="D300" s="506">
        <f t="shared" si="21"/>
        <v>1773915.7852777734</v>
      </c>
      <c r="E300" s="549">
        <f t="shared" si="23"/>
        <v>161265.0713888889</v>
      </c>
      <c r="F300" s="549">
        <f t="shared" si="17"/>
        <v>1612650.7138888845</v>
      </c>
      <c r="G300" s="506">
        <f t="shared" si="22"/>
        <v>1693283.2495833291</v>
      </c>
      <c r="H300" s="554">
        <f>+J269*G300+E300</f>
        <v>348079.25609616749</v>
      </c>
      <c r="I300" s="555">
        <f>+J270*G300+E300</f>
        <v>348079.25609616749</v>
      </c>
      <c r="J300" s="552">
        <f t="shared" si="24"/>
        <v>0</v>
      </c>
      <c r="K300" s="552"/>
      <c r="L300" s="572"/>
      <c r="M300" s="552">
        <f t="shared" si="18"/>
        <v>0</v>
      </c>
      <c r="N300" s="572"/>
      <c r="O300" s="552">
        <f t="shared" si="19"/>
        <v>0</v>
      </c>
      <c r="P300" s="552">
        <f t="shared" si="20"/>
        <v>0</v>
      </c>
    </row>
    <row r="301" spans="3:16">
      <c r="C301" s="548">
        <f>IF(D268="","-",+C300+1)</f>
        <v>2040</v>
      </c>
      <c r="D301" s="506">
        <f t="shared" si="21"/>
        <v>1612650.7138888845</v>
      </c>
      <c r="E301" s="549">
        <f t="shared" si="23"/>
        <v>161265.0713888889</v>
      </c>
      <c r="F301" s="549">
        <f t="shared" si="17"/>
        <v>1451385.6424999957</v>
      </c>
      <c r="G301" s="506">
        <f t="shared" si="22"/>
        <v>1532018.17819444</v>
      </c>
      <c r="H301" s="554">
        <f>+J269*G301+E301</f>
        <v>330287.42898118851</v>
      </c>
      <c r="I301" s="555">
        <f>+J270*G301+E301</f>
        <v>330287.42898118851</v>
      </c>
      <c r="J301" s="552">
        <f t="shared" si="24"/>
        <v>0</v>
      </c>
      <c r="K301" s="552"/>
      <c r="L301" s="572"/>
      <c r="M301" s="552">
        <f t="shared" si="18"/>
        <v>0</v>
      </c>
      <c r="N301" s="572"/>
      <c r="O301" s="552">
        <f t="shared" si="19"/>
        <v>0</v>
      </c>
      <c r="P301" s="552">
        <f t="shared" si="20"/>
        <v>0</v>
      </c>
    </row>
    <row r="302" spans="3:16">
      <c r="C302" s="548">
        <f>IF(D268="","-",+C301+1)</f>
        <v>2041</v>
      </c>
      <c r="D302" s="506">
        <f t="shared" si="21"/>
        <v>1451385.6424999957</v>
      </c>
      <c r="E302" s="549">
        <f t="shared" si="23"/>
        <v>161265.0713888889</v>
      </c>
      <c r="F302" s="549">
        <f t="shared" si="17"/>
        <v>1290120.5711111068</v>
      </c>
      <c r="G302" s="506">
        <f t="shared" si="22"/>
        <v>1370753.1068055513</v>
      </c>
      <c r="H302" s="554">
        <f>+J269*G302+E302</f>
        <v>312495.60186620959</v>
      </c>
      <c r="I302" s="555">
        <f>+J270*G302+E302</f>
        <v>312495.60186620959</v>
      </c>
      <c r="J302" s="552">
        <f t="shared" si="24"/>
        <v>0</v>
      </c>
      <c r="K302" s="552"/>
      <c r="L302" s="572"/>
      <c r="M302" s="552">
        <f t="shared" si="18"/>
        <v>0</v>
      </c>
      <c r="N302" s="572"/>
      <c r="O302" s="552">
        <f t="shared" si="19"/>
        <v>0</v>
      </c>
      <c r="P302" s="552">
        <f t="shared" si="20"/>
        <v>0</v>
      </c>
    </row>
    <row r="303" spans="3:16">
      <c r="C303" s="548">
        <f>IF(D268="","-",+C302+1)</f>
        <v>2042</v>
      </c>
      <c r="D303" s="506">
        <f t="shared" si="21"/>
        <v>1290120.5711111068</v>
      </c>
      <c r="E303" s="549">
        <f t="shared" si="23"/>
        <v>161265.0713888889</v>
      </c>
      <c r="F303" s="549">
        <f t="shared" si="17"/>
        <v>1128855.4997222179</v>
      </c>
      <c r="G303" s="506">
        <f t="shared" si="22"/>
        <v>1209488.0354166622</v>
      </c>
      <c r="H303" s="554">
        <f>+J269*G303+E303</f>
        <v>294703.77475123061</v>
      </c>
      <c r="I303" s="555">
        <f>+J270*G303+E303</f>
        <v>294703.77475123061</v>
      </c>
      <c r="J303" s="552">
        <f t="shared" si="24"/>
        <v>0</v>
      </c>
      <c r="K303" s="552"/>
      <c r="L303" s="572"/>
      <c r="M303" s="552">
        <f t="shared" si="18"/>
        <v>0</v>
      </c>
      <c r="N303" s="572"/>
      <c r="O303" s="552">
        <f t="shared" si="19"/>
        <v>0</v>
      </c>
      <c r="P303" s="552">
        <f t="shared" si="20"/>
        <v>0</v>
      </c>
    </row>
    <row r="304" spans="3:16">
      <c r="C304" s="548">
        <f>IF(D268="","-",+C303+1)</f>
        <v>2043</v>
      </c>
      <c r="D304" s="506">
        <f t="shared" si="21"/>
        <v>1128855.4997222179</v>
      </c>
      <c r="E304" s="549">
        <f t="shared" si="23"/>
        <v>161265.0713888889</v>
      </c>
      <c r="F304" s="549">
        <f t="shared" si="17"/>
        <v>967590.42833332904</v>
      </c>
      <c r="G304" s="506">
        <f t="shared" si="22"/>
        <v>1048222.9640277735</v>
      </c>
      <c r="H304" s="554">
        <f>+J269*G304+E304</f>
        <v>276911.94763625169</v>
      </c>
      <c r="I304" s="555">
        <f>+J270*G304+E304</f>
        <v>276911.94763625169</v>
      </c>
      <c r="J304" s="552">
        <f t="shared" si="24"/>
        <v>0</v>
      </c>
      <c r="K304" s="552"/>
      <c r="L304" s="572"/>
      <c r="M304" s="552">
        <f t="shared" si="18"/>
        <v>0</v>
      </c>
      <c r="N304" s="572"/>
      <c r="O304" s="552">
        <f t="shared" si="19"/>
        <v>0</v>
      </c>
      <c r="P304" s="552">
        <f t="shared" si="20"/>
        <v>0</v>
      </c>
    </row>
    <row r="305" spans="3:16">
      <c r="C305" s="548">
        <f>IF(D268="","-",+C304+1)</f>
        <v>2044</v>
      </c>
      <c r="D305" s="506">
        <f t="shared" si="21"/>
        <v>967590.42833332904</v>
      </c>
      <c r="E305" s="549">
        <f t="shared" si="23"/>
        <v>161265.0713888889</v>
      </c>
      <c r="F305" s="549">
        <f t="shared" si="17"/>
        <v>806325.35694444017</v>
      </c>
      <c r="G305" s="506">
        <f t="shared" si="22"/>
        <v>886957.8926388846</v>
      </c>
      <c r="H305" s="554">
        <f>+J269*G305+E305</f>
        <v>259120.12052127271</v>
      </c>
      <c r="I305" s="555">
        <f>+J270*G305+E305</f>
        <v>259120.12052127271</v>
      </c>
      <c r="J305" s="552">
        <f t="shared" si="24"/>
        <v>0</v>
      </c>
      <c r="K305" s="552"/>
      <c r="L305" s="572"/>
      <c r="M305" s="552">
        <f t="shared" si="18"/>
        <v>0</v>
      </c>
      <c r="N305" s="572"/>
      <c r="O305" s="552">
        <f t="shared" si="19"/>
        <v>0</v>
      </c>
      <c r="P305" s="552">
        <f t="shared" si="20"/>
        <v>0</v>
      </c>
    </row>
    <row r="306" spans="3:16">
      <c r="C306" s="548">
        <f>IF(D268="","-",+C305+1)</f>
        <v>2045</v>
      </c>
      <c r="D306" s="506">
        <f t="shared" si="21"/>
        <v>806325.35694444017</v>
      </c>
      <c r="E306" s="549">
        <f t="shared" si="23"/>
        <v>161265.0713888889</v>
      </c>
      <c r="F306" s="549">
        <f t="shared" si="17"/>
        <v>645060.28555555129</v>
      </c>
      <c r="G306" s="506">
        <f t="shared" si="22"/>
        <v>725692.82124999573</v>
      </c>
      <c r="H306" s="554">
        <f>+J269*G306+E306</f>
        <v>241328.29340629373</v>
      </c>
      <c r="I306" s="555">
        <f>+J270*G306+E306</f>
        <v>241328.29340629373</v>
      </c>
      <c r="J306" s="552">
        <f t="shared" si="24"/>
        <v>0</v>
      </c>
      <c r="K306" s="552"/>
      <c r="L306" s="572"/>
      <c r="M306" s="552">
        <f t="shared" si="18"/>
        <v>0</v>
      </c>
      <c r="N306" s="572"/>
      <c r="O306" s="552">
        <f t="shared" si="19"/>
        <v>0</v>
      </c>
      <c r="P306" s="552">
        <f t="shared" si="20"/>
        <v>0</v>
      </c>
    </row>
    <row r="307" spans="3:16">
      <c r="C307" s="548">
        <f>IF(D268="","-",+C306+1)</f>
        <v>2046</v>
      </c>
      <c r="D307" s="506">
        <f t="shared" si="21"/>
        <v>645060.28555555129</v>
      </c>
      <c r="E307" s="549">
        <f t="shared" si="23"/>
        <v>161265.0713888889</v>
      </c>
      <c r="F307" s="549">
        <f t="shared" si="17"/>
        <v>483795.21416666242</v>
      </c>
      <c r="G307" s="506">
        <f t="shared" si="22"/>
        <v>564427.74986110686</v>
      </c>
      <c r="H307" s="554">
        <f>+J269*G307+E307</f>
        <v>223536.46629131478</v>
      </c>
      <c r="I307" s="555">
        <f>+J270*G307+E307</f>
        <v>223536.46629131478</v>
      </c>
      <c r="J307" s="552">
        <f t="shared" si="24"/>
        <v>0</v>
      </c>
      <c r="K307" s="552"/>
      <c r="L307" s="572"/>
      <c r="M307" s="552">
        <f t="shared" si="18"/>
        <v>0</v>
      </c>
      <c r="N307" s="572"/>
      <c r="O307" s="552">
        <f t="shared" si="19"/>
        <v>0</v>
      </c>
      <c r="P307" s="552">
        <f t="shared" si="20"/>
        <v>0</v>
      </c>
    </row>
    <row r="308" spans="3:16">
      <c r="C308" s="548">
        <f>IF(D268="","-",+C307+1)</f>
        <v>2047</v>
      </c>
      <c r="D308" s="506">
        <f t="shared" si="21"/>
        <v>483795.21416666242</v>
      </c>
      <c r="E308" s="549">
        <f t="shared" si="23"/>
        <v>161265.0713888889</v>
      </c>
      <c r="F308" s="549">
        <f t="shared" si="17"/>
        <v>322530.14277777355</v>
      </c>
      <c r="G308" s="506">
        <f t="shared" si="22"/>
        <v>403162.67847221799</v>
      </c>
      <c r="H308" s="554">
        <f>+J269*G308+E308</f>
        <v>205744.63917633583</v>
      </c>
      <c r="I308" s="555">
        <f>+J270*G308+E308</f>
        <v>205744.63917633583</v>
      </c>
      <c r="J308" s="552">
        <f t="shared" si="24"/>
        <v>0</v>
      </c>
      <c r="K308" s="552"/>
      <c r="L308" s="572"/>
      <c r="M308" s="552">
        <f t="shared" si="18"/>
        <v>0</v>
      </c>
      <c r="N308" s="572"/>
      <c r="O308" s="552">
        <f t="shared" si="19"/>
        <v>0</v>
      </c>
      <c r="P308" s="552">
        <f t="shared" si="20"/>
        <v>0</v>
      </c>
    </row>
    <row r="309" spans="3:16">
      <c r="C309" s="548">
        <f>IF(D268="","-",+C308+1)</f>
        <v>2048</v>
      </c>
      <c r="D309" s="506">
        <f t="shared" si="21"/>
        <v>322530.14277777355</v>
      </c>
      <c r="E309" s="549">
        <f t="shared" si="23"/>
        <v>161265.0713888889</v>
      </c>
      <c r="F309" s="549">
        <f t="shared" si="17"/>
        <v>161265.07138888465</v>
      </c>
      <c r="G309" s="506">
        <f t="shared" si="22"/>
        <v>241897.60708332912</v>
      </c>
      <c r="H309" s="554">
        <f>+J269*G309+E309</f>
        <v>187952.81206135688</v>
      </c>
      <c r="I309" s="555">
        <f>+J270*G309+E309</f>
        <v>187952.81206135688</v>
      </c>
      <c r="J309" s="552">
        <f t="shared" si="24"/>
        <v>0</v>
      </c>
      <c r="K309" s="552"/>
      <c r="L309" s="572"/>
      <c r="M309" s="552">
        <f t="shared" si="18"/>
        <v>0</v>
      </c>
      <c r="N309" s="572"/>
      <c r="O309" s="552">
        <f t="shared" si="19"/>
        <v>0</v>
      </c>
      <c r="P309" s="552">
        <f t="shared" si="20"/>
        <v>0</v>
      </c>
    </row>
    <row r="310" spans="3:16">
      <c r="C310" s="548">
        <f>IF(D268="","-",+C309+1)</f>
        <v>2049</v>
      </c>
      <c r="D310" s="506">
        <f t="shared" si="21"/>
        <v>161265.07138888465</v>
      </c>
      <c r="E310" s="549">
        <f t="shared" si="23"/>
        <v>161265.07138888465</v>
      </c>
      <c r="F310" s="549">
        <f t="shared" si="17"/>
        <v>0</v>
      </c>
      <c r="G310" s="506">
        <f t="shared" si="22"/>
        <v>80632.535694442326</v>
      </c>
      <c r="H310" s="554">
        <f>+J269*G310+E310</f>
        <v>170160.98494637391</v>
      </c>
      <c r="I310" s="555">
        <f>+J270*G310+E310</f>
        <v>170160.98494637391</v>
      </c>
      <c r="J310" s="552">
        <f t="shared" si="24"/>
        <v>0</v>
      </c>
      <c r="K310" s="552"/>
      <c r="L310" s="572"/>
      <c r="M310" s="552">
        <f t="shared" si="18"/>
        <v>0</v>
      </c>
      <c r="N310" s="572"/>
      <c r="O310" s="552">
        <f t="shared" si="19"/>
        <v>0</v>
      </c>
      <c r="P310" s="552">
        <f t="shared" si="20"/>
        <v>0</v>
      </c>
    </row>
    <row r="311" spans="3:16">
      <c r="C311" s="548">
        <f>IF(D268="","-",+C310+1)</f>
        <v>2050</v>
      </c>
      <c r="D311" s="506">
        <f t="shared" si="21"/>
        <v>0</v>
      </c>
      <c r="E311" s="549">
        <f t="shared" si="23"/>
        <v>0</v>
      </c>
      <c r="F311" s="549">
        <f t="shared" si="17"/>
        <v>0</v>
      </c>
      <c r="G311" s="506">
        <f t="shared" si="22"/>
        <v>0</v>
      </c>
      <c r="H311" s="554">
        <f>+J269*G311+E311</f>
        <v>0</v>
      </c>
      <c r="I311" s="555">
        <f>+J270*G311+E311</f>
        <v>0</v>
      </c>
      <c r="J311" s="552">
        <f t="shared" si="24"/>
        <v>0</v>
      </c>
      <c r="K311" s="552"/>
      <c r="L311" s="572"/>
      <c r="M311" s="552">
        <f t="shared" si="18"/>
        <v>0</v>
      </c>
      <c r="N311" s="572"/>
      <c r="O311" s="552">
        <f t="shared" si="19"/>
        <v>0</v>
      </c>
      <c r="P311" s="552">
        <f t="shared" si="20"/>
        <v>0</v>
      </c>
    </row>
    <row r="312" spans="3:16">
      <c r="C312" s="548">
        <f>IF(D268="","-",+C311+1)</f>
        <v>2051</v>
      </c>
      <c r="D312" s="506">
        <f t="shared" si="21"/>
        <v>0</v>
      </c>
      <c r="E312" s="549">
        <f t="shared" si="23"/>
        <v>0</v>
      </c>
      <c r="F312" s="549">
        <f t="shared" si="17"/>
        <v>0</v>
      </c>
      <c r="G312" s="506">
        <f t="shared" si="22"/>
        <v>0</v>
      </c>
      <c r="H312" s="554">
        <f>+J269*G312+E312</f>
        <v>0</v>
      </c>
      <c r="I312" s="555">
        <f>+J270*G312+E312</f>
        <v>0</v>
      </c>
      <c r="J312" s="552">
        <f t="shared" si="24"/>
        <v>0</v>
      </c>
      <c r="K312" s="552"/>
      <c r="L312" s="572"/>
      <c r="M312" s="552">
        <f t="shared" si="18"/>
        <v>0</v>
      </c>
      <c r="N312" s="572"/>
      <c r="O312" s="552">
        <f t="shared" si="19"/>
        <v>0</v>
      </c>
      <c r="P312" s="552">
        <f t="shared" si="20"/>
        <v>0</v>
      </c>
    </row>
    <row r="313" spans="3:16">
      <c r="C313" s="548">
        <f>IF(D268="","-",+C312+1)</f>
        <v>2052</v>
      </c>
      <c r="D313" s="506">
        <f t="shared" si="21"/>
        <v>0</v>
      </c>
      <c r="E313" s="549">
        <f t="shared" si="23"/>
        <v>0</v>
      </c>
      <c r="F313" s="549">
        <f t="shared" si="17"/>
        <v>0</v>
      </c>
      <c r="G313" s="506">
        <f t="shared" si="22"/>
        <v>0</v>
      </c>
      <c r="H313" s="554">
        <f>+J269*G313+E313</f>
        <v>0</v>
      </c>
      <c r="I313" s="555">
        <f>+J270*G313+E313</f>
        <v>0</v>
      </c>
      <c r="J313" s="552">
        <f t="shared" si="24"/>
        <v>0</v>
      </c>
      <c r="K313" s="552"/>
      <c r="L313" s="572"/>
      <c r="M313" s="552">
        <f t="shared" si="18"/>
        <v>0</v>
      </c>
      <c r="N313" s="572"/>
      <c r="O313" s="552">
        <f t="shared" si="19"/>
        <v>0</v>
      </c>
      <c r="P313" s="552">
        <f t="shared" si="20"/>
        <v>0</v>
      </c>
    </row>
    <row r="314" spans="3:16">
      <c r="C314" s="548">
        <f>IF(D268="","-",+C313+1)</f>
        <v>2053</v>
      </c>
      <c r="D314" s="506">
        <f t="shared" si="21"/>
        <v>0</v>
      </c>
      <c r="E314" s="549">
        <f t="shared" si="23"/>
        <v>0</v>
      </c>
      <c r="F314" s="549">
        <f t="shared" si="17"/>
        <v>0</v>
      </c>
      <c r="G314" s="506">
        <f t="shared" si="22"/>
        <v>0</v>
      </c>
      <c r="H314" s="554">
        <f>+J269*G314+E314</f>
        <v>0</v>
      </c>
      <c r="I314" s="555">
        <f>+J270*G314+E314</f>
        <v>0</v>
      </c>
      <c r="J314" s="552">
        <f t="shared" si="24"/>
        <v>0</v>
      </c>
      <c r="K314" s="552"/>
      <c r="L314" s="572"/>
      <c r="M314" s="552">
        <f t="shared" si="18"/>
        <v>0</v>
      </c>
      <c r="N314" s="572"/>
      <c r="O314" s="552">
        <f t="shared" si="19"/>
        <v>0</v>
      </c>
      <c r="P314" s="552">
        <f t="shared" si="20"/>
        <v>0</v>
      </c>
    </row>
    <row r="315" spans="3:16">
      <c r="C315" s="548">
        <f>IF(D268="","-",+C314+1)</f>
        <v>2054</v>
      </c>
      <c r="D315" s="506">
        <f t="shared" si="21"/>
        <v>0</v>
      </c>
      <c r="E315" s="549">
        <f t="shared" si="23"/>
        <v>0</v>
      </c>
      <c r="F315" s="549">
        <f t="shared" si="17"/>
        <v>0</v>
      </c>
      <c r="G315" s="506">
        <f t="shared" si="22"/>
        <v>0</v>
      </c>
      <c r="H315" s="554">
        <f>+J269*G315+E315</f>
        <v>0</v>
      </c>
      <c r="I315" s="555">
        <f>+J270*G315+E315</f>
        <v>0</v>
      </c>
      <c r="J315" s="552">
        <f t="shared" si="24"/>
        <v>0</v>
      </c>
      <c r="K315" s="552"/>
      <c r="L315" s="572"/>
      <c r="M315" s="552">
        <f t="shared" si="18"/>
        <v>0</v>
      </c>
      <c r="N315" s="572"/>
      <c r="O315" s="552">
        <f t="shared" si="19"/>
        <v>0</v>
      </c>
      <c r="P315" s="552">
        <f t="shared" si="20"/>
        <v>0</v>
      </c>
    </row>
    <row r="316" spans="3:16">
      <c r="C316" s="548">
        <f>IF(D268="","-",+C315+1)</f>
        <v>2055</v>
      </c>
      <c r="D316" s="506">
        <f t="shared" si="21"/>
        <v>0</v>
      </c>
      <c r="E316" s="549">
        <f t="shared" si="23"/>
        <v>0</v>
      </c>
      <c r="F316" s="549">
        <f t="shared" si="17"/>
        <v>0</v>
      </c>
      <c r="G316" s="506">
        <f t="shared" si="22"/>
        <v>0</v>
      </c>
      <c r="H316" s="554">
        <f>+J269*G316+E316</f>
        <v>0</v>
      </c>
      <c r="I316" s="555">
        <f>+J270*G316+E316</f>
        <v>0</v>
      </c>
      <c r="J316" s="552">
        <f t="shared" si="24"/>
        <v>0</v>
      </c>
      <c r="K316" s="552"/>
      <c r="L316" s="572"/>
      <c r="M316" s="552">
        <f t="shared" si="18"/>
        <v>0</v>
      </c>
      <c r="N316" s="572"/>
      <c r="O316" s="552">
        <f t="shared" si="19"/>
        <v>0</v>
      </c>
      <c r="P316" s="552">
        <f t="shared" si="20"/>
        <v>0</v>
      </c>
    </row>
    <row r="317" spans="3:16">
      <c r="C317" s="548">
        <f>IF(D268="","-",+C316+1)</f>
        <v>2056</v>
      </c>
      <c r="D317" s="506">
        <f t="shared" si="21"/>
        <v>0</v>
      </c>
      <c r="E317" s="549">
        <f t="shared" si="23"/>
        <v>0</v>
      </c>
      <c r="F317" s="549">
        <f t="shared" si="17"/>
        <v>0</v>
      </c>
      <c r="G317" s="506">
        <f t="shared" si="22"/>
        <v>0</v>
      </c>
      <c r="H317" s="554">
        <f>+J269*G317+E317</f>
        <v>0</v>
      </c>
      <c r="I317" s="555">
        <f>+J270*G317+E317</f>
        <v>0</v>
      </c>
      <c r="J317" s="552">
        <f t="shared" si="24"/>
        <v>0</v>
      </c>
      <c r="K317" s="552"/>
      <c r="L317" s="572"/>
      <c r="M317" s="552">
        <f t="shared" si="18"/>
        <v>0</v>
      </c>
      <c r="N317" s="572"/>
      <c r="O317" s="552">
        <f t="shared" si="19"/>
        <v>0</v>
      </c>
      <c r="P317" s="552">
        <f t="shared" si="20"/>
        <v>0</v>
      </c>
    </row>
    <row r="318" spans="3:16">
      <c r="C318" s="548">
        <f>IF(D268="","-",+C317+1)</f>
        <v>2057</v>
      </c>
      <c r="D318" s="506">
        <f t="shared" si="21"/>
        <v>0</v>
      </c>
      <c r="E318" s="549">
        <f t="shared" si="23"/>
        <v>0</v>
      </c>
      <c r="F318" s="549">
        <f t="shared" si="17"/>
        <v>0</v>
      </c>
      <c r="G318" s="506">
        <f t="shared" si="22"/>
        <v>0</v>
      </c>
      <c r="H318" s="554">
        <f>+J269*G318+E318</f>
        <v>0</v>
      </c>
      <c r="I318" s="555">
        <f>+J270*G318+E318</f>
        <v>0</v>
      </c>
      <c r="J318" s="552">
        <f t="shared" si="24"/>
        <v>0</v>
      </c>
      <c r="K318" s="552"/>
      <c r="L318" s="572"/>
      <c r="M318" s="552">
        <f t="shared" si="18"/>
        <v>0</v>
      </c>
      <c r="N318" s="572"/>
      <c r="O318" s="552">
        <f t="shared" si="19"/>
        <v>0</v>
      </c>
      <c r="P318" s="552">
        <f t="shared" si="20"/>
        <v>0</v>
      </c>
    </row>
    <row r="319" spans="3:16">
      <c r="C319" s="548">
        <f>IF(D268="","-",+C318+1)</f>
        <v>2058</v>
      </c>
      <c r="D319" s="506">
        <f t="shared" si="21"/>
        <v>0</v>
      </c>
      <c r="E319" s="549">
        <f t="shared" si="23"/>
        <v>0</v>
      </c>
      <c r="F319" s="549">
        <f t="shared" si="17"/>
        <v>0</v>
      </c>
      <c r="G319" s="506">
        <f t="shared" si="22"/>
        <v>0</v>
      </c>
      <c r="H319" s="554">
        <f>+J269*G319+E319</f>
        <v>0</v>
      </c>
      <c r="I319" s="555">
        <f>+J270*G319+E319</f>
        <v>0</v>
      </c>
      <c r="J319" s="552">
        <f t="shared" si="24"/>
        <v>0</v>
      </c>
      <c r="K319" s="552"/>
      <c r="L319" s="572"/>
      <c r="M319" s="552">
        <f t="shared" si="18"/>
        <v>0</v>
      </c>
      <c r="N319" s="572"/>
      <c r="O319" s="552">
        <f t="shared" si="19"/>
        <v>0</v>
      </c>
      <c r="P319" s="552">
        <f t="shared" si="20"/>
        <v>0</v>
      </c>
    </row>
    <row r="320" spans="3:16">
      <c r="C320" s="548">
        <f>IF(D268="","-",+C319+1)</f>
        <v>2059</v>
      </c>
      <c r="D320" s="506">
        <f t="shared" si="21"/>
        <v>0</v>
      </c>
      <c r="E320" s="549">
        <f t="shared" si="23"/>
        <v>0</v>
      </c>
      <c r="F320" s="549">
        <f t="shared" si="17"/>
        <v>0</v>
      </c>
      <c r="G320" s="506">
        <f t="shared" si="22"/>
        <v>0</v>
      </c>
      <c r="H320" s="554">
        <f>+J269*G320+E320</f>
        <v>0</v>
      </c>
      <c r="I320" s="555">
        <f>+J270*G320+E320</f>
        <v>0</v>
      </c>
      <c r="J320" s="552">
        <f t="shared" si="24"/>
        <v>0</v>
      </c>
      <c r="K320" s="552"/>
      <c r="L320" s="572"/>
      <c r="M320" s="552">
        <f t="shared" si="18"/>
        <v>0</v>
      </c>
      <c r="N320" s="572"/>
      <c r="O320" s="552">
        <f t="shared" si="19"/>
        <v>0</v>
      </c>
      <c r="P320" s="552">
        <f t="shared" si="20"/>
        <v>0</v>
      </c>
    </row>
    <row r="321" spans="3:16">
      <c r="C321" s="548">
        <f>IF(D268="","-",+C320+1)</f>
        <v>2060</v>
      </c>
      <c r="D321" s="506">
        <f t="shared" si="21"/>
        <v>0</v>
      </c>
      <c r="E321" s="549">
        <f t="shared" si="23"/>
        <v>0</v>
      </c>
      <c r="F321" s="549">
        <f t="shared" si="17"/>
        <v>0</v>
      </c>
      <c r="G321" s="506">
        <f t="shared" si="22"/>
        <v>0</v>
      </c>
      <c r="H321" s="554">
        <f>+J269*G321+E321</f>
        <v>0</v>
      </c>
      <c r="I321" s="555">
        <f>+J270*G321+E321</f>
        <v>0</v>
      </c>
      <c r="J321" s="552">
        <f t="shared" si="24"/>
        <v>0</v>
      </c>
      <c r="K321" s="552"/>
      <c r="L321" s="572"/>
      <c r="M321" s="552">
        <f t="shared" si="18"/>
        <v>0</v>
      </c>
      <c r="N321" s="572"/>
      <c r="O321" s="552">
        <f t="shared" si="19"/>
        <v>0</v>
      </c>
      <c r="P321" s="552">
        <f t="shared" si="20"/>
        <v>0</v>
      </c>
    </row>
    <row r="322" spans="3:16">
      <c r="C322" s="548">
        <f>IF(D268="","-",+C321+1)</f>
        <v>2061</v>
      </c>
      <c r="D322" s="506">
        <f t="shared" si="21"/>
        <v>0</v>
      </c>
      <c r="E322" s="549">
        <f t="shared" si="23"/>
        <v>0</v>
      </c>
      <c r="F322" s="549">
        <f t="shared" si="17"/>
        <v>0</v>
      </c>
      <c r="G322" s="506">
        <f t="shared" si="22"/>
        <v>0</v>
      </c>
      <c r="H322" s="554">
        <f>+J269*G322+E322</f>
        <v>0</v>
      </c>
      <c r="I322" s="555">
        <f>+J270*G322+E322</f>
        <v>0</v>
      </c>
      <c r="J322" s="552">
        <f t="shared" si="24"/>
        <v>0</v>
      </c>
      <c r="K322" s="552"/>
      <c r="L322" s="572"/>
      <c r="M322" s="552">
        <f t="shared" si="18"/>
        <v>0</v>
      </c>
      <c r="N322" s="572"/>
      <c r="O322" s="552">
        <f t="shared" si="19"/>
        <v>0</v>
      </c>
      <c r="P322" s="552">
        <f t="shared" si="20"/>
        <v>0</v>
      </c>
    </row>
    <row r="323" spans="3:16">
      <c r="C323" s="548">
        <f>IF(D268="","-",+C322+1)</f>
        <v>2062</v>
      </c>
      <c r="D323" s="506">
        <f t="shared" si="21"/>
        <v>0</v>
      </c>
      <c r="E323" s="549">
        <f t="shared" si="23"/>
        <v>0</v>
      </c>
      <c r="F323" s="549">
        <f t="shared" si="17"/>
        <v>0</v>
      </c>
      <c r="G323" s="506">
        <f t="shared" si="22"/>
        <v>0</v>
      </c>
      <c r="H323" s="554">
        <f>+J269*G323+E323</f>
        <v>0</v>
      </c>
      <c r="I323" s="555">
        <f>+J270*G323+E323</f>
        <v>0</v>
      </c>
      <c r="J323" s="552">
        <f t="shared" si="24"/>
        <v>0</v>
      </c>
      <c r="K323" s="552"/>
      <c r="L323" s="572"/>
      <c r="M323" s="552">
        <f t="shared" si="18"/>
        <v>0</v>
      </c>
      <c r="N323" s="572"/>
      <c r="O323" s="552">
        <f t="shared" si="19"/>
        <v>0</v>
      </c>
      <c r="P323" s="552">
        <f t="shared" si="20"/>
        <v>0</v>
      </c>
    </row>
    <row r="324" spans="3:16">
      <c r="C324" s="548">
        <f>IF(D268="","-",+C323+1)</f>
        <v>2063</v>
      </c>
      <c r="D324" s="506">
        <f t="shared" si="21"/>
        <v>0</v>
      </c>
      <c r="E324" s="549">
        <f t="shared" si="23"/>
        <v>0</v>
      </c>
      <c r="F324" s="549">
        <f t="shared" si="17"/>
        <v>0</v>
      </c>
      <c r="G324" s="506">
        <f t="shared" si="22"/>
        <v>0</v>
      </c>
      <c r="H324" s="554">
        <f>+J269*G324+E324</f>
        <v>0</v>
      </c>
      <c r="I324" s="555">
        <f>+J270*G324+E324</f>
        <v>0</v>
      </c>
      <c r="J324" s="552">
        <f t="shared" si="24"/>
        <v>0</v>
      </c>
      <c r="K324" s="552"/>
      <c r="L324" s="572"/>
      <c r="M324" s="552">
        <f t="shared" si="18"/>
        <v>0</v>
      </c>
      <c r="N324" s="572"/>
      <c r="O324" s="552">
        <f t="shared" si="19"/>
        <v>0</v>
      </c>
      <c r="P324" s="552">
        <f t="shared" si="20"/>
        <v>0</v>
      </c>
    </row>
    <row r="325" spans="3:16">
      <c r="C325" s="548">
        <f>IF(D268="","-",+C324+1)</f>
        <v>2064</v>
      </c>
      <c r="D325" s="506">
        <f t="shared" si="21"/>
        <v>0</v>
      </c>
      <c r="E325" s="549">
        <f t="shared" si="23"/>
        <v>0</v>
      </c>
      <c r="F325" s="549">
        <f t="shared" si="17"/>
        <v>0</v>
      </c>
      <c r="G325" s="506">
        <f t="shared" si="22"/>
        <v>0</v>
      </c>
      <c r="H325" s="554">
        <f>+J269*G325+E325</f>
        <v>0</v>
      </c>
      <c r="I325" s="555">
        <f>+J270*G325+E325</f>
        <v>0</v>
      </c>
      <c r="J325" s="552">
        <f t="shared" si="24"/>
        <v>0</v>
      </c>
      <c r="K325" s="552"/>
      <c r="L325" s="572"/>
      <c r="M325" s="552">
        <f t="shared" si="18"/>
        <v>0</v>
      </c>
      <c r="N325" s="572"/>
      <c r="O325" s="552">
        <f t="shared" si="19"/>
        <v>0</v>
      </c>
      <c r="P325" s="552">
        <f t="shared" si="20"/>
        <v>0</v>
      </c>
    </row>
    <row r="326" spans="3:16">
      <c r="C326" s="548">
        <f>IF(D268="","-",+C325+1)</f>
        <v>2065</v>
      </c>
      <c r="D326" s="506">
        <f t="shared" si="21"/>
        <v>0</v>
      </c>
      <c r="E326" s="549">
        <f t="shared" si="23"/>
        <v>0</v>
      </c>
      <c r="F326" s="549">
        <f t="shared" si="17"/>
        <v>0</v>
      </c>
      <c r="G326" s="506">
        <f t="shared" si="22"/>
        <v>0</v>
      </c>
      <c r="H326" s="554">
        <f>+J269*G326+E326</f>
        <v>0</v>
      </c>
      <c r="I326" s="555">
        <f>+J270*G326+E326</f>
        <v>0</v>
      </c>
      <c r="J326" s="552">
        <f t="shared" si="24"/>
        <v>0</v>
      </c>
      <c r="K326" s="552"/>
      <c r="L326" s="572"/>
      <c r="M326" s="552">
        <f t="shared" si="18"/>
        <v>0</v>
      </c>
      <c r="N326" s="572"/>
      <c r="O326" s="552">
        <f t="shared" si="19"/>
        <v>0</v>
      </c>
      <c r="P326" s="552">
        <f t="shared" si="20"/>
        <v>0</v>
      </c>
    </row>
    <row r="327" spans="3:16">
      <c r="C327" s="548">
        <f>IF(D268="","-",+C326+1)</f>
        <v>2066</v>
      </c>
      <c r="D327" s="506">
        <f t="shared" si="21"/>
        <v>0</v>
      </c>
      <c r="E327" s="549">
        <f t="shared" si="23"/>
        <v>0</v>
      </c>
      <c r="F327" s="549">
        <f t="shared" si="17"/>
        <v>0</v>
      </c>
      <c r="G327" s="506">
        <f t="shared" si="22"/>
        <v>0</v>
      </c>
      <c r="H327" s="554">
        <f>+J269*G327+E327</f>
        <v>0</v>
      </c>
      <c r="I327" s="555">
        <f>+J270*G327+E327</f>
        <v>0</v>
      </c>
      <c r="J327" s="552">
        <f t="shared" si="24"/>
        <v>0</v>
      </c>
      <c r="K327" s="552"/>
      <c r="L327" s="572"/>
      <c r="M327" s="552">
        <f t="shared" si="18"/>
        <v>0</v>
      </c>
      <c r="N327" s="572"/>
      <c r="O327" s="552">
        <f t="shared" si="19"/>
        <v>0</v>
      </c>
      <c r="P327" s="552">
        <f t="shared" si="20"/>
        <v>0</v>
      </c>
    </row>
    <row r="328" spans="3:16">
      <c r="C328" s="548">
        <f>IF(D268="","-",+C327+1)</f>
        <v>2067</v>
      </c>
      <c r="D328" s="506">
        <f t="shared" ref="D328:D333" si="25">F327</f>
        <v>0</v>
      </c>
      <c r="E328" s="549">
        <f t="shared" si="23"/>
        <v>0</v>
      </c>
      <c r="F328" s="549">
        <f t="shared" si="17"/>
        <v>0</v>
      </c>
      <c r="G328" s="506">
        <f t="shared" si="22"/>
        <v>0</v>
      </c>
      <c r="H328" s="554">
        <f>+J269*G328+E328</f>
        <v>0</v>
      </c>
      <c r="I328" s="555">
        <f>+J270*G328+E328</f>
        <v>0</v>
      </c>
      <c r="J328" s="552">
        <f t="shared" si="24"/>
        <v>0</v>
      </c>
      <c r="K328" s="552"/>
      <c r="L328" s="572"/>
      <c r="M328" s="552">
        <f t="shared" si="18"/>
        <v>0</v>
      </c>
      <c r="N328" s="572"/>
      <c r="O328" s="552">
        <f t="shared" si="19"/>
        <v>0</v>
      </c>
      <c r="P328" s="552">
        <f t="shared" si="20"/>
        <v>0</v>
      </c>
    </row>
    <row r="329" spans="3:16">
      <c r="C329" s="548">
        <f>IF(D268="","-",+C328+1)</f>
        <v>2068</v>
      </c>
      <c r="D329" s="506">
        <f t="shared" si="25"/>
        <v>0</v>
      </c>
      <c r="E329" s="549">
        <f t="shared" si="23"/>
        <v>0</v>
      </c>
      <c r="F329" s="549">
        <f t="shared" si="17"/>
        <v>0</v>
      </c>
      <c r="G329" s="506">
        <f t="shared" si="22"/>
        <v>0</v>
      </c>
      <c r="H329" s="554">
        <f>+J269*G329+E329</f>
        <v>0</v>
      </c>
      <c r="I329" s="555">
        <f>+J270*G329+E329</f>
        <v>0</v>
      </c>
      <c r="J329" s="552">
        <f t="shared" si="24"/>
        <v>0</v>
      </c>
      <c r="K329" s="552"/>
      <c r="L329" s="572"/>
      <c r="M329" s="552">
        <f t="shared" si="18"/>
        <v>0</v>
      </c>
      <c r="N329" s="572"/>
      <c r="O329" s="552">
        <f t="shared" si="19"/>
        <v>0</v>
      </c>
      <c r="P329" s="552">
        <f t="shared" si="20"/>
        <v>0</v>
      </c>
    </row>
    <row r="330" spans="3:16">
      <c r="C330" s="548">
        <f>IF(D268="","-",+C329+1)</f>
        <v>2069</v>
      </c>
      <c r="D330" s="506">
        <f t="shared" si="25"/>
        <v>0</v>
      </c>
      <c r="E330" s="549">
        <f t="shared" si="23"/>
        <v>0</v>
      </c>
      <c r="F330" s="549">
        <f t="shared" si="17"/>
        <v>0</v>
      </c>
      <c r="G330" s="506">
        <f t="shared" si="22"/>
        <v>0</v>
      </c>
      <c r="H330" s="554">
        <f>+J269*G330+E330</f>
        <v>0</v>
      </c>
      <c r="I330" s="555">
        <f>+J270*G330+E330</f>
        <v>0</v>
      </c>
      <c r="J330" s="552">
        <f t="shared" si="24"/>
        <v>0</v>
      </c>
      <c r="K330" s="552"/>
      <c r="L330" s="572"/>
      <c r="M330" s="552">
        <f t="shared" si="18"/>
        <v>0</v>
      </c>
      <c r="N330" s="572"/>
      <c r="O330" s="552">
        <f t="shared" si="19"/>
        <v>0</v>
      </c>
      <c r="P330" s="552">
        <f t="shared" si="20"/>
        <v>0</v>
      </c>
    </row>
    <row r="331" spans="3:16">
      <c r="C331" s="548">
        <f>IF(D268="","-",+C330+1)</f>
        <v>2070</v>
      </c>
      <c r="D331" s="506">
        <f t="shared" si="25"/>
        <v>0</v>
      </c>
      <c r="E331" s="549">
        <f t="shared" si="23"/>
        <v>0</v>
      </c>
      <c r="F331" s="549">
        <f t="shared" si="17"/>
        <v>0</v>
      </c>
      <c r="G331" s="506">
        <f t="shared" si="22"/>
        <v>0</v>
      </c>
      <c r="H331" s="554">
        <f>+J269*G331+E331</f>
        <v>0</v>
      </c>
      <c r="I331" s="555">
        <f>+J270*G331+E331</f>
        <v>0</v>
      </c>
      <c r="J331" s="552">
        <f t="shared" si="24"/>
        <v>0</v>
      </c>
      <c r="K331" s="552"/>
      <c r="L331" s="572"/>
      <c r="M331" s="552">
        <f t="shared" si="18"/>
        <v>0</v>
      </c>
      <c r="N331" s="572"/>
      <c r="O331" s="552">
        <f t="shared" si="19"/>
        <v>0</v>
      </c>
      <c r="P331" s="552">
        <f t="shared" si="20"/>
        <v>0</v>
      </c>
    </row>
    <row r="332" spans="3:16">
      <c r="C332" s="548">
        <f>IF(D268="","-",+C331+1)</f>
        <v>2071</v>
      </c>
      <c r="D332" s="506">
        <f t="shared" si="25"/>
        <v>0</v>
      </c>
      <c r="E332" s="549">
        <f t="shared" si="23"/>
        <v>0</v>
      </c>
      <c r="F332" s="549">
        <f t="shared" si="17"/>
        <v>0</v>
      </c>
      <c r="G332" s="506">
        <f t="shared" si="22"/>
        <v>0</v>
      </c>
      <c r="H332" s="554">
        <f>+J269*G332+E332</f>
        <v>0</v>
      </c>
      <c r="I332" s="555">
        <f>+J270*G332+E332</f>
        <v>0</v>
      </c>
      <c r="J332" s="552">
        <f t="shared" si="24"/>
        <v>0</v>
      </c>
      <c r="K332" s="552"/>
      <c r="L332" s="572"/>
      <c r="M332" s="552">
        <f t="shared" si="18"/>
        <v>0</v>
      </c>
      <c r="N332" s="572"/>
      <c r="O332" s="552">
        <f t="shared" si="19"/>
        <v>0</v>
      </c>
      <c r="P332" s="552">
        <f t="shared" si="20"/>
        <v>0</v>
      </c>
    </row>
    <row r="333" spans="3:16" ht="13.5" thickBot="1">
      <c r="C333" s="558">
        <f>IF(D268="","-",+C332+1)</f>
        <v>2072</v>
      </c>
      <c r="D333" s="559">
        <f t="shared" si="25"/>
        <v>0</v>
      </c>
      <c r="E333" s="560">
        <f t="shared" si="23"/>
        <v>0</v>
      </c>
      <c r="F333" s="560">
        <f t="shared" si="17"/>
        <v>0</v>
      </c>
      <c r="G333" s="559">
        <f t="shared" si="22"/>
        <v>0</v>
      </c>
      <c r="H333" s="561">
        <f>+J269*G333+E333</f>
        <v>0</v>
      </c>
      <c r="I333" s="561">
        <f>+J270*G333+E333</f>
        <v>0</v>
      </c>
      <c r="J333" s="562">
        <f t="shared" si="24"/>
        <v>0</v>
      </c>
      <c r="K333" s="552"/>
      <c r="L333" s="573"/>
      <c r="M333" s="562">
        <f t="shared" si="18"/>
        <v>0</v>
      </c>
      <c r="N333" s="573"/>
      <c r="O333" s="562">
        <f t="shared" si="19"/>
        <v>0</v>
      </c>
      <c r="P333" s="562">
        <f t="shared" si="20"/>
        <v>0</v>
      </c>
    </row>
    <row r="334" spans="3:16">
      <c r="C334" s="506" t="s">
        <v>91</v>
      </c>
      <c r="D334" s="503"/>
      <c r="E334" s="503">
        <f>SUM(E274:E333)</f>
        <v>5805542.5700000003</v>
      </c>
      <c r="F334" s="503"/>
      <c r="G334" s="503"/>
      <c r="H334" s="503">
        <f>SUM(H274:H333)</f>
        <v>17975152.316645592</v>
      </c>
      <c r="I334" s="503">
        <f>SUM(I274:I333)</f>
        <v>17975152.316645592</v>
      </c>
      <c r="J334" s="503">
        <f>SUM(J274:J333)</f>
        <v>0</v>
      </c>
      <c r="K334" s="503"/>
      <c r="L334" s="503"/>
      <c r="M334" s="503"/>
      <c r="N334" s="503"/>
      <c r="O334" s="503"/>
    </row>
    <row r="335" spans="3:16">
      <c r="D335" s="47"/>
      <c r="E335" s="3"/>
      <c r="F335" s="3"/>
      <c r="G335" s="3"/>
      <c r="H335" s="3"/>
      <c r="I335" s="490"/>
      <c r="J335" s="490"/>
      <c r="K335" s="503"/>
      <c r="L335" s="490"/>
      <c r="M335" s="490"/>
      <c r="N335" s="490"/>
      <c r="O335" s="490"/>
    </row>
    <row r="336" spans="3:16">
      <c r="C336" s="3" t="s">
        <v>13</v>
      </c>
      <c r="D336" s="47"/>
      <c r="E336" s="3"/>
      <c r="F336" s="3"/>
      <c r="G336" s="3"/>
      <c r="H336" s="3"/>
      <c r="I336" s="490"/>
      <c r="J336" s="490"/>
      <c r="K336" s="503"/>
      <c r="L336" s="490"/>
      <c r="M336" s="490"/>
      <c r="N336" s="490"/>
      <c r="O336" s="490"/>
    </row>
    <row r="337" spans="1:17">
      <c r="C337" s="3"/>
      <c r="D337" s="47"/>
      <c r="E337" s="3"/>
      <c r="F337" s="3"/>
      <c r="G337" s="3"/>
      <c r="H337" s="3"/>
      <c r="I337" s="490"/>
      <c r="J337" s="490"/>
      <c r="K337" s="503"/>
      <c r="L337" s="490"/>
      <c r="M337" s="490"/>
      <c r="N337" s="490"/>
      <c r="O337" s="490"/>
    </row>
    <row r="338" spans="1:17">
      <c r="C338" s="518" t="s">
        <v>14</v>
      </c>
      <c r="D338" s="506"/>
      <c r="E338" s="506"/>
      <c r="F338" s="506"/>
      <c r="G338" s="506"/>
      <c r="H338" s="503"/>
      <c r="I338" s="503"/>
      <c r="J338" s="564"/>
      <c r="K338" s="564"/>
      <c r="L338" s="564"/>
      <c r="M338" s="564"/>
      <c r="N338" s="564"/>
      <c r="O338" s="564"/>
    </row>
    <row r="339" spans="1:17">
      <c r="C339" s="507" t="s">
        <v>271</v>
      </c>
      <c r="D339" s="506"/>
      <c r="E339" s="506"/>
      <c r="F339" s="506"/>
      <c r="G339" s="506"/>
      <c r="H339" s="503"/>
      <c r="I339" s="503"/>
      <c r="J339" s="564"/>
      <c r="K339" s="564"/>
      <c r="L339" s="564"/>
      <c r="M339" s="564"/>
      <c r="N339" s="564"/>
      <c r="O339" s="564"/>
    </row>
    <row r="340" spans="1:17">
      <c r="C340" s="507" t="s">
        <v>92</v>
      </c>
      <c r="D340" s="506"/>
      <c r="E340" s="506"/>
      <c r="F340" s="506"/>
      <c r="G340" s="506"/>
      <c r="H340" s="503"/>
      <c r="I340" s="503"/>
      <c r="J340" s="564"/>
      <c r="K340" s="564"/>
      <c r="L340" s="564"/>
      <c r="M340" s="564"/>
      <c r="N340" s="564"/>
      <c r="O340" s="564"/>
    </row>
    <row r="341" spans="1:17">
      <c r="C341" s="507"/>
      <c r="D341" s="506"/>
      <c r="E341" s="506"/>
      <c r="F341" s="506"/>
      <c r="G341" s="506"/>
      <c r="H341" s="503"/>
      <c r="I341" s="503"/>
      <c r="J341" s="564"/>
      <c r="K341" s="564"/>
      <c r="L341" s="564"/>
      <c r="M341" s="564"/>
      <c r="N341" s="564"/>
      <c r="O341" s="564"/>
    </row>
    <row r="342" spans="1:17" ht="20.25">
      <c r="A342" s="447" t="str">
        <f>""&amp;A265&amp;" Worksheet K -  ATRR TRUE-UP Calculation for PJM Projects Charged to Benefiting Zones"</f>
        <v xml:space="preserve"> Worksheet K -  ATRR TRUE-UP Calculation for PJM Projects Charged to Benefiting Zones</v>
      </c>
      <c r="B342" s="3"/>
      <c r="C342" s="3"/>
      <c r="D342" s="47"/>
      <c r="E342" s="3"/>
      <c r="F342" s="489"/>
      <c r="G342" s="489"/>
      <c r="H342" s="3"/>
      <c r="I342" s="490"/>
      <c r="L342" s="398"/>
      <c r="M342" s="398"/>
      <c r="N342" s="398"/>
      <c r="O342" s="398" t="str">
        <f>"Page "&amp;SUM(Q$8:Q342)&amp;" of "</f>
        <v xml:space="preserve">Page 4 of </v>
      </c>
      <c r="P342" s="448">
        <f>COUNT(Q$8:Q$56657)</f>
        <v>10</v>
      </c>
      <c r="Q342">
        <v>1</v>
      </c>
    </row>
    <row r="343" spans="1:17">
      <c r="B343" s="3"/>
      <c r="C343" s="3"/>
      <c r="D343" s="47"/>
      <c r="E343" s="3"/>
      <c r="F343" s="3"/>
      <c r="G343" s="3"/>
      <c r="H343" s="3"/>
      <c r="I343" s="490"/>
      <c r="J343" s="3"/>
      <c r="K343" s="3"/>
    </row>
    <row r="344" spans="1:17" ht="18">
      <c r="B344" s="449" t="s">
        <v>472</v>
      </c>
      <c r="C344" s="122" t="s">
        <v>93</v>
      </c>
      <c r="D344" s="47"/>
      <c r="E344" s="3"/>
      <c r="F344" s="3"/>
      <c r="G344" s="3"/>
      <c r="H344" s="3"/>
      <c r="I344" s="490"/>
      <c r="J344" s="490"/>
      <c r="K344" s="503"/>
      <c r="L344" s="490"/>
      <c r="M344" s="490"/>
      <c r="N344" s="490"/>
      <c r="O344" s="490"/>
    </row>
    <row r="345" spans="1:17" ht="18.75">
      <c r="B345" s="449"/>
      <c r="C345" s="6"/>
      <c r="D345" s="47"/>
      <c r="E345" s="3"/>
      <c r="F345" s="3"/>
      <c r="G345" s="3"/>
      <c r="H345" s="3"/>
      <c r="I345" s="490"/>
      <c r="J345" s="490"/>
      <c r="K345" s="503"/>
      <c r="L345" s="490"/>
      <c r="M345" s="490"/>
      <c r="N345" s="490"/>
      <c r="O345" s="490"/>
    </row>
    <row r="346" spans="1:17" ht="18.75">
      <c r="B346" s="449"/>
      <c r="C346" s="6" t="s">
        <v>94</v>
      </c>
      <c r="D346" s="47"/>
      <c r="E346" s="3"/>
      <c r="F346" s="3"/>
      <c r="G346" s="3"/>
      <c r="H346" s="3"/>
      <c r="I346" s="490"/>
      <c r="J346" s="490"/>
      <c r="K346" s="503"/>
      <c r="L346" s="490"/>
      <c r="M346" s="490"/>
      <c r="N346" s="490"/>
      <c r="O346" s="490"/>
    </row>
    <row r="347" spans="1:17" ht="15.75" thickBot="1">
      <c r="C347" s="132"/>
      <c r="D347" s="47"/>
      <c r="E347" s="3"/>
      <c r="F347" s="3"/>
      <c r="G347" s="3"/>
      <c r="H347" s="3"/>
      <c r="I347" s="490"/>
      <c r="J347" s="490"/>
      <c r="K347" s="503"/>
      <c r="L347" s="490"/>
      <c r="M347" s="490"/>
      <c r="N347" s="490"/>
      <c r="O347" s="490"/>
    </row>
    <row r="348" spans="1:17" ht="15.75">
      <c r="C348" s="451" t="s">
        <v>95</v>
      </c>
      <c r="D348" s="47"/>
      <c r="E348" s="3"/>
      <c r="F348" s="3"/>
      <c r="G348" s="3"/>
      <c r="H348" s="566"/>
      <c r="I348" s="3" t="s">
        <v>74</v>
      </c>
      <c r="J348" s="3"/>
      <c r="K348" s="3"/>
      <c r="L348" s="593">
        <f>+J354</f>
        <v>2025</v>
      </c>
      <c r="M348" s="576" t="s">
        <v>52</v>
      </c>
      <c r="N348" s="576" t="s">
        <v>53</v>
      </c>
      <c r="O348" s="577" t="s">
        <v>55</v>
      </c>
    </row>
    <row r="349" spans="1:17" ht="15.75">
      <c r="C349" s="451"/>
      <c r="D349" s="47"/>
      <c r="E349" s="3"/>
      <c r="F349" s="3"/>
      <c r="H349" s="3"/>
      <c r="I349" s="513"/>
      <c r="J349" s="513"/>
      <c r="K349" s="514"/>
      <c r="L349" s="594" t="s">
        <v>243</v>
      </c>
      <c r="M349" s="595">
        <f>VLOOKUP(J354,C361:P420,10)</f>
        <v>6581372.5805551503</v>
      </c>
      <c r="N349" s="595">
        <f>VLOOKUP(J354,C361:P420,12)</f>
        <v>6581372.5805551503</v>
      </c>
      <c r="O349" s="596">
        <f>+N349-M349</f>
        <v>0</v>
      </c>
    </row>
    <row r="350" spans="1:17" ht="12.95" customHeight="1">
      <c r="C350" s="518" t="s">
        <v>96</v>
      </c>
      <c r="D350" s="1210" t="s">
        <v>816</v>
      </c>
      <c r="E350" s="1210"/>
      <c r="F350" s="1210"/>
      <c r="G350" s="1210"/>
      <c r="H350" s="1210"/>
      <c r="I350" s="1210"/>
      <c r="J350" s="490"/>
      <c r="K350" s="503"/>
      <c r="L350" s="594" t="s">
        <v>244</v>
      </c>
      <c r="M350" s="597">
        <f>VLOOKUP(J354,C361:P420,6)</f>
        <v>6385384.4408466034</v>
      </c>
      <c r="N350" s="597">
        <f>VLOOKUP(J354,C361:P420,7)</f>
        <v>6385384.4408466034</v>
      </c>
      <c r="O350" s="598">
        <f>+N350-M350</f>
        <v>0</v>
      </c>
    </row>
    <row r="351" spans="1:17" ht="13.5" thickBot="1">
      <c r="C351" s="522"/>
      <c r="D351" s="1210"/>
      <c r="E351" s="1210"/>
      <c r="F351" s="1210"/>
      <c r="G351" s="1210"/>
      <c r="H351" s="1210"/>
      <c r="I351" s="1210"/>
      <c r="J351" s="490"/>
      <c r="K351" s="503"/>
      <c r="L351" s="533" t="s">
        <v>245</v>
      </c>
      <c r="M351" s="599">
        <f>+M350-M349</f>
        <v>-195988.13970854692</v>
      </c>
      <c r="N351" s="599">
        <f>+N350-N349</f>
        <v>-195988.13970854692</v>
      </c>
      <c r="O351" s="600">
        <f>+O350-O349</f>
        <v>0</v>
      </c>
    </row>
    <row r="352" spans="1:17" ht="13.5" thickBot="1">
      <c r="C352" s="522"/>
      <c r="D352" s="3"/>
      <c r="E352" s="524"/>
      <c r="F352" s="524"/>
      <c r="G352" s="524"/>
      <c r="H352" s="524"/>
      <c r="I352" s="524"/>
      <c r="J352" s="524"/>
      <c r="K352" s="524"/>
      <c r="L352" s="524"/>
      <c r="M352" s="524"/>
      <c r="N352" s="524"/>
      <c r="O352" s="524"/>
    </row>
    <row r="353" spans="1:16" ht="13.5" thickBot="1">
      <c r="C353" s="525" t="s">
        <v>97</v>
      </c>
      <c r="D353" s="526"/>
      <c r="E353" s="526"/>
      <c r="F353" s="526"/>
      <c r="G353" s="526"/>
      <c r="H353" s="526"/>
      <c r="I353" s="526"/>
      <c r="J353" s="526"/>
    </row>
    <row r="354" spans="1:16" ht="15">
      <c r="A354" s="978"/>
      <c r="C354" s="528" t="s">
        <v>75</v>
      </c>
      <c r="D354" s="568">
        <v>60573765.780000001</v>
      </c>
      <c r="E354" s="3" t="s">
        <v>76</v>
      </c>
      <c r="H354" s="47"/>
      <c r="I354" s="47"/>
      <c r="J354" s="529">
        <f>$J$93</f>
        <v>2025</v>
      </c>
      <c r="K354" s="70"/>
      <c r="L354" s="1211" t="s">
        <v>77</v>
      </c>
      <c r="M354" s="1211"/>
      <c r="N354" s="1211"/>
      <c r="O354" s="1211"/>
    </row>
    <row r="355" spans="1:16">
      <c r="C355" s="528" t="s">
        <v>78</v>
      </c>
      <c r="D355" s="569">
        <v>2014</v>
      </c>
      <c r="E355" s="528" t="s">
        <v>79</v>
      </c>
      <c r="F355" s="47"/>
      <c r="G355" s="47"/>
      <c r="I355"/>
      <c r="J355" s="570">
        <f>IF(H348="",0,$F$17)</f>
        <v>0</v>
      </c>
      <c r="K355" s="530"/>
      <c r="L355" s="503" t="s">
        <v>285</v>
      </c>
    </row>
    <row r="356" spans="1:16">
      <c r="C356" s="528" t="s">
        <v>80</v>
      </c>
      <c r="D356" s="568">
        <v>10</v>
      </c>
      <c r="E356" s="528" t="s">
        <v>81</v>
      </c>
      <c r="F356" s="47"/>
      <c r="G356" s="47"/>
      <c r="I356"/>
      <c r="J356" s="531">
        <f>$F$70</f>
        <v>0.11032660055737779</v>
      </c>
      <c r="K356" s="489"/>
      <c r="L356" s="3" t="str">
        <f>"          INPUT TRUE-UP ARR (WITH &amp; WITHOUT INCENTIVES) FROM EACH PRIOR YEAR"</f>
        <v xml:space="preserve">          INPUT TRUE-UP ARR (WITH &amp; WITHOUT INCENTIVES) FROM EACH PRIOR YEAR</v>
      </c>
    </row>
    <row r="357" spans="1:16">
      <c r="C357" s="528" t="s">
        <v>82</v>
      </c>
      <c r="D357" s="532">
        <f>H$79</f>
        <v>36</v>
      </c>
      <c r="E357" s="528" t="s">
        <v>83</v>
      </c>
      <c r="F357" s="47"/>
      <c r="G357" s="47"/>
      <c r="I357"/>
      <c r="J357" s="531">
        <f>IF(H348="",+J356,$F$69)</f>
        <v>0.11032660055737779</v>
      </c>
      <c r="K357" s="489"/>
      <c r="L357" s="3" t="s">
        <v>165</v>
      </c>
      <c r="M357" s="489"/>
      <c r="N357" s="489"/>
      <c r="O357" s="489"/>
    </row>
    <row r="358" spans="1:16" ht="13.5" thickBot="1">
      <c r="C358" s="528" t="s">
        <v>84</v>
      </c>
      <c r="D358" s="969" t="s">
        <v>812</v>
      </c>
      <c r="E358" s="533" t="s">
        <v>85</v>
      </c>
      <c r="F358" s="534"/>
      <c r="G358" s="534"/>
      <c r="H358" s="535"/>
      <c r="I358" s="535"/>
      <c r="J358" s="521">
        <f>IF(D354=0,0,D354/D357)</f>
        <v>1682604.605</v>
      </c>
      <c r="K358" s="503"/>
      <c r="L358" s="503" t="s">
        <v>166</v>
      </c>
      <c r="M358" s="503"/>
      <c r="N358" s="503"/>
      <c r="O358" s="503"/>
    </row>
    <row r="359" spans="1:16" ht="38.25">
      <c r="B359" s="450"/>
      <c r="C359" s="536" t="s">
        <v>75</v>
      </c>
      <c r="D359" s="537" t="s">
        <v>86</v>
      </c>
      <c r="E359" s="538" t="s">
        <v>87</v>
      </c>
      <c r="F359" s="537" t="s">
        <v>88</v>
      </c>
      <c r="G359" s="537" t="s">
        <v>246</v>
      </c>
      <c r="H359" s="538" t="s">
        <v>159</v>
      </c>
      <c r="I359" s="539" t="s">
        <v>159</v>
      </c>
      <c r="J359" s="536" t="s">
        <v>98</v>
      </c>
      <c r="K359" s="540"/>
      <c r="L359" s="538" t="s">
        <v>161</v>
      </c>
      <c r="M359" s="538" t="s">
        <v>167</v>
      </c>
      <c r="N359" s="538" t="s">
        <v>161</v>
      </c>
      <c r="O359" s="538" t="s">
        <v>169</v>
      </c>
      <c r="P359" s="538" t="s">
        <v>89</v>
      </c>
    </row>
    <row r="360" spans="1:16" ht="13.5" thickBot="1">
      <c r="C360" s="542" t="s">
        <v>475</v>
      </c>
      <c r="D360" s="543" t="s">
        <v>476</v>
      </c>
      <c r="E360" s="542" t="s">
        <v>369</v>
      </c>
      <c r="F360" s="543" t="s">
        <v>476</v>
      </c>
      <c r="G360" s="543" t="s">
        <v>476</v>
      </c>
      <c r="H360" s="544" t="s">
        <v>101</v>
      </c>
      <c r="I360" s="545" t="s">
        <v>103</v>
      </c>
      <c r="J360" s="542" t="s">
        <v>15</v>
      </c>
      <c r="K360" s="546"/>
      <c r="L360" s="544" t="s">
        <v>90</v>
      </c>
      <c r="M360" s="544" t="s">
        <v>90</v>
      </c>
      <c r="N360" s="544" t="s">
        <v>263</v>
      </c>
      <c r="O360" s="544" t="s">
        <v>263</v>
      </c>
      <c r="P360" s="544" t="s">
        <v>263</v>
      </c>
    </row>
    <row r="361" spans="1:16">
      <c r="C361" s="548">
        <f>IF(D355= "","-",D355)</f>
        <v>2014</v>
      </c>
      <c r="D361" s="506">
        <f>+D354</f>
        <v>60573765.780000001</v>
      </c>
      <c r="E361" s="554">
        <f>+J358/12*(12-D356)</f>
        <v>280434.10083333333</v>
      </c>
      <c r="F361" s="601">
        <f t="shared" ref="F361:F420" si="26">+D361-E361</f>
        <v>60293331.679166667</v>
      </c>
      <c r="G361" s="506">
        <f>+(D361+F361)/2</f>
        <v>60433548.729583338</v>
      </c>
      <c r="H361" s="550">
        <f>+J356*G361+E361</f>
        <v>6947862.0917869005</v>
      </c>
      <c r="I361" s="551">
        <f>+J357*G361+E361</f>
        <v>6947862.0917869005</v>
      </c>
      <c r="J361" s="552">
        <f>+I361-H361</f>
        <v>0</v>
      </c>
      <c r="K361" s="552"/>
      <c r="L361" s="571">
        <v>0</v>
      </c>
      <c r="M361" s="602">
        <f t="shared" ref="M361:M420" si="27">IF(L361&lt;&gt;0,+H361-L361,0)</f>
        <v>0</v>
      </c>
      <c r="N361" s="571">
        <v>0</v>
      </c>
      <c r="O361" s="602">
        <f t="shared" ref="O361:O420" si="28">IF(N361&lt;&gt;0,+I361-N361,0)</f>
        <v>0</v>
      </c>
      <c r="P361" s="602">
        <f t="shared" ref="P361:P420" si="29">+O361-M361</f>
        <v>0</v>
      </c>
    </row>
    <row r="362" spans="1:16">
      <c r="C362" s="548">
        <f>IF(D355="","-",+C361+1)</f>
        <v>2015</v>
      </c>
      <c r="D362" s="506">
        <f t="shared" ref="D362:D414" si="30">F361</f>
        <v>60293331.679166667</v>
      </c>
      <c r="E362" s="549">
        <f>IF(D362&gt;$J$358,$J$358,D362)</f>
        <v>1682604.605</v>
      </c>
      <c r="F362" s="549">
        <f t="shared" si="26"/>
        <v>58610727.07416667</v>
      </c>
      <c r="G362" s="506">
        <f t="shared" ref="G362:G420" si="31">+(D362+F362)/2</f>
        <v>59452029.376666665</v>
      </c>
      <c r="H362" s="554">
        <f>+J356*G362+E362</f>
        <v>8241744.9023649935</v>
      </c>
      <c r="I362" s="555">
        <f>+J357*G362+E362</f>
        <v>8241744.9023649935</v>
      </c>
      <c r="J362" s="552">
        <f>+I362-H362</f>
        <v>0</v>
      </c>
      <c r="K362" s="552"/>
      <c r="L362" s="572">
        <v>1745562</v>
      </c>
      <c r="M362" s="552">
        <f t="shared" si="27"/>
        <v>6496182.9023649935</v>
      </c>
      <c r="N362" s="572">
        <v>1745562</v>
      </c>
      <c r="O362" s="552">
        <f t="shared" si="28"/>
        <v>6496182.9023649935</v>
      </c>
      <c r="P362" s="552">
        <f t="shared" si="29"/>
        <v>0</v>
      </c>
    </row>
    <row r="363" spans="1:16">
      <c r="C363" s="548">
        <f>IF(D355="","-",+C362+1)</f>
        <v>2016</v>
      </c>
      <c r="D363" s="506">
        <f t="shared" si="30"/>
        <v>58610727.07416667</v>
      </c>
      <c r="E363" s="549">
        <f t="shared" ref="E363:E420" si="32">IF(D363&gt;$J$358,$J$358,D363)</f>
        <v>1682604.605</v>
      </c>
      <c r="F363" s="549">
        <f t="shared" si="26"/>
        <v>56928122.469166674</v>
      </c>
      <c r="G363" s="506">
        <f t="shared" si="31"/>
        <v>57769424.771666676</v>
      </c>
      <c r="H363" s="554">
        <f>+J356*G363+E363</f>
        <v>8056108.8562131543</v>
      </c>
      <c r="I363" s="555">
        <f>+J357*G363+E363</f>
        <v>8056108.8562131543</v>
      </c>
      <c r="J363" s="552">
        <f t="shared" ref="J363:J420" si="33">+I363-H363</f>
        <v>0</v>
      </c>
      <c r="K363" s="552"/>
      <c r="L363" s="572">
        <v>1596924</v>
      </c>
      <c r="M363" s="552">
        <f t="shared" si="27"/>
        <v>6459184.8562131543</v>
      </c>
      <c r="N363" s="572">
        <v>1596924</v>
      </c>
      <c r="O363" s="552">
        <f t="shared" si="28"/>
        <v>6459184.8562131543</v>
      </c>
      <c r="P363" s="552">
        <f t="shared" si="29"/>
        <v>0</v>
      </c>
    </row>
    <row r="364" spans="1:16">
      <c r="C364" s="548">
        <f>IF(D355="","-",+C363+1)</f>
        <v>2017</v>
      </c>
      <c r="D364" s="506">
        <f t="shared" si="30"/>
        <v>56928122.469166674</v>
      </c>
      <c r="E364" s="549">
        <f t="shared" si="32"/>
        <v>1682604.605</v>
      </c>
      <c r="F364" s="549">
        <f t="shared" si="26"/>
        <v>55245517.864166677</v>
      </c>
      <c r="G364" s="506">
        <f t="shared" si="31"/>
        <v>56086820.166666672</v>
      </c>
      <c r="H364" s="554">
        <f>+J356*G364+E364</f>
        <v>7870472.8100613151</v>
      </c>
      <c r="I364" s="555">
        <f>+J357*G364+E364</f>
        <v>7870472.8100613151</v>
      </c>
      <c r="J364" s="552">
        <f t="shared" si="33"/>
        <v>0</v>
      </c>
      <c r="K364" s="552"/>
      <c r="L364" s="572">
        <v>8620533</v>
      </c>
      <c r="M364" s="552">
        <f t="shared" si="27"/>
        <v>-750060.18993868493</v>
      </c>
      <c r="N364" s="572">
        <v>8620533</v>
      </c>
      <c r="O364" s="552">
        <f t="shared" si="28"/>
        <v>-750060.18993868493</v>
      </c>
      <c r="P364" s="552">
        <f t="shared" si="29"/>
        <v>0</v>
      </c>
    </row>
    <row r="365" spans="1:16">
      <c r="C365" s="548">
        <f>IF(D355="","-",+C364+1)</f>
        <v>2018</v>
      </c>
      <c r="D365" s="506">
        <f t="shared" si="30"/>
        <v>55245517.864166677</v>
      </c>
      <c r="E365" s="549">
        <f t="shared" si="32"/>
        <v>1682604.605</v>
      </c>
      <c r="F365" s="549">
        <f t="shared" si="26"/>
        <v>53562913.25916668</v>
      </c>
      <c r="G365" s="506">
        <f t="shared" si="31"/>
        <v>54404215.561666682</v>
      </c>
      <c r="H365" s="554">
        <f>+J356*G365+E365</f>
        <v>7684836.7639094777</v>
      </c>
      <c r="I365" s="555">
        <f>+J357*G365+E365</f>
        <v>7684836.7639094777</v>
      </c>
      <c r="J365" s="552">
        <f t="shared" si="33"/>
        <v>0</v>
      </c>
      <c r="K365" s="552"/>
      <c r="L365" s="572">
        <v>6863859</v>
      </c>
      <c r="M365" s="552">
        <f t="shared" si="27"/>
        <v>820977.76390947774</v>
      </c>
      <c r="N365" s="572">
        <v>6863859</v>
      </c>
      <c r="O365" s="552">
        <f t="shared" si="28"/>
        <v>820977.76390947774</v>
      </c>
      <c r="P365" s="552">
        <f t="shared" si="29"/>
        <v>0</v>
      </c>
    </row>
    <row r="366" spans="1:16">
      <c r="C366" s="548">
        <f>IF(D355="","-",+C365+1)</f>
        <v>2019</v>
      </c>
      <c r="D366" s="970">
        <f t="shared" si="30"/>
        <v>53562913.25916668</v>
      </c>
      <c r="E366" s="549">
        <f t="shared" si="32"/>
        <v>1682604.605</v>
      </c>
      <c r="F366" s="549">
        <f t="shared" si="26"/>
        <v>51880308.654166684</v>
      </c>
      <c r="G366" s="506">
        <f t="shared" si="31"/>
        <v>52721610.956666678</v>
      </c>
      <c r="H366" s="554">
        <f>+J356*G366+E366</f>
        <v>7499200.7177576367</v>
      </c>
      <c r="I366" s="555">
        <f>+J357*G366+E366</f>
        <v>7499200.7177576367</v>
      </c>
      <c r="J366" s="552">
        <f t="shared" si="33"/>
        <v>0</v>
      </c>
      <c r="K366" s="552"/>
      <c r="L366" s="572">
        <v>7470796</v>
      </c>
      <c r="M366" s="552">
        <f t="shared" si="27"/>
        <v>28404.717757636681</v>
      </c>
      <c r="N366" s="572">
        <v>7470796</v>
      </c>
      <c r="O366" s="552">
        <f t="shared" si="28"/>
        <v>28404.717757636681</v>
      </c>
      <c r="P366" s="552">
        <f t="shared" si="29"/>
        <v>0</v>
      </c>
    </row>
    <row r="367" spans="1:16">
      <c r="C367" s="548">
        <f>IF(D355="","-",+C366+1)</f>
        <v>2020</v>
      </c>
      <c r="D367" s="970">
        <f t="shared" si="30"/>
        <v>51880308.654166684</v>
      </c>
      <c r="E367" s="549">
        <f t="shared" si="32"/>
        <v>1682604.605</v>
      </c>
      <c r="F367" s="549">
        <f t="shared" si="26"/>
        <v>50197704.049166687</v>
      </c>
      <c r="G367" s="506">
        <f t="shared" si="31"/>
        <v>51039006.351666689</v>
      </c>
      <c r="H367" s="554">
        <f>+J356*G367+E367</f>
        <v>7313564.6716057993</v>
      </c>
      <c r="I367" s="555">
        <f>+J357*G367+E367</f>
        <v>7313564.6716057993</v>
      </c>
      <c r="J367" s="552">
        <f t="shared" si="33"/>
        <v>0</v>
      </c>
      <c r="K367" s="552"/>
      <c r="L367" s="572">
        <v>7563743.814107067</v>
      </c>
      <c r="M367" s="552">
        <f t="shared" si="27"/>
        <v>-250179.1425012676</v>
      </c>
      <c r="N367" s="572">
        <v>7563743.814107067</v>
      </c>
      <c r="O367" s="552">
        <f t="shared" si="28"/>
        <v>-250179.1425012676</v>
      </c>
      <c r="P367" s="552">
        <f t="shared" si="29"/>
        <v>0</v>
      </c>
    </row>
    <row r="368" spans="1:16">
      <c r="C368" s="548">
        <f>IF(D355="","-",+C367+1)</f>
        <v>2021</v>
      </c>
      <c r="D368" s="506">
        <f t="shared" si="30"/>
        <v>50197704.049166687</v>
      </c>
      <c r="E368" s="549">
        <f t="shared" si="32"/>
        <v>1682604.605</v>
      </c>
      <c r="F368" s="549">
        <f t="shared" si="26"/>
        <v>48515099.44416669</v>
      </c>
      <c r="G368" s="506">
        <f t="shared" si="31"/>
        <v>49356401.746666685</v>
      </c>
      <c r="H368" s="554">
        <f>+J356*G368+E368</f>
        <v>7127928.6254539583</v>
      </c>
      <c r="I368" s="555">
        <f>+J357*G368+E368</f>
        <v>7127928.6254539583</v>
      </c>
      <c r="J368" s="552">
        <f t="shared" si="33"/>
        <v>0</v>
      </c>
      <c r="K368" s="552"/>
      <c r="L368" s="572">
        <v>7012207.6163820876</v>
      </c>
      <c r="M368" s="552">
        <f t="shared" si="27"/>
        <v>115721.00907187071</v>
      </c>
      <c r="N368" s="572">
        <v>7012207.6163820876</v>
      </c>
      <c r="O368" s="552">
        <f t="shared" si="28"/>
        <v>115721.00907187071</v>
      </c>
      <c r="P368" s="552">
        <f t="shared" si="29"/>
        <v>0</v>
      </c>
    </row>
    <row r="369" spans="3:16">
      <c r="C369" s="548">
        <f>IF(D355="","-",+C368+1)</f>
        <v>2022</v>
      </c>
      <c r="D369" s="506">
        <f t="shared" si="30"/>
        <v>48515099.44416669</v>
      </c>
      <c r="E369" s="549">
        <f t="shared" si="32"/>
        <v>1682604.605</v>
      </c>
      <c r="F369" s="549">
        <f t="shared" si="26"/>
        <v>46832494.839166693</v>
      </c>
      <c r="G369" s="506">
        <f t="shared" si="31"/>
        <v>47673797.141666695</v>
      </c>
      <c r="H369" s="554">
        <f>+J356*G369+E369</f>
        <v>6942292.579302121</v>
      </c>
      <c r="I369" s="555">
        <f>+J357*G369+E369</f>
        <v>6942292.579302121</v>
      </c>
      <c r="J369" s="552">
        <f t="shared" si="33"/>
        <v>0</v>
      </c>
      <c r="K369" s="552"/>
      <c r="L369" s="572">
        <v>7122748.7522307895</v>
      </c>
      <c r="M369" s="552">
        <f t="shared" si="27"/>
        <v>-180456.17292866856</v>
      </c>
      <c r="N369" s="572">
        <v>7122748.7522307895</v>
      </c>
      <c r="O369" s="552">
        <f t="shared" si="28"/>
        <v>-180456.17292866856</v>
      </c>
      <c r="P369" s="552">
        <f t="shared" si="29"/>
        <v>0</v>
      </c>
    </row>
    <row r="370" spans="3:16">
      <c r="C370" s="548">
        <f>IF(D355="","-",+C369+1)</f>
        <v>2023</v>
      </c>
      <c r="D370" s="506">
        <f t="shared" si="30"/>
        <v>46832494.839166693</v>
      </c>
      <c r="E370" s="549">
        <f t="shared" si="32"/>
        <v>1682604.605</v>
      </c>
      <c r="F370" s="549">
        <f t="shared" si="26"/>
        <v>45149890.234166697</v>
      </c>
      <c r="G370" s="506">
        <f t="shared" si="31"/>
        <v>45991192.536666691</v>
      </c>
      <c r="H370" s="554">
        <f>+J356*G370+E370</f>
        <v>6756656.5331502799</v>
      </c>
      <c r="I370" s="555">
        <f>+J357*G370+E370</f>
        <v>6756656.5331502799</v>
      </c>
      <c r="J370" s="552">
        <f t="shared" si="33"/>
        <v>0</v>
      </c>
      <c r="K370" s="552"/>
      <c r="L370" s="572">
        <v>6932414.1715410287</v>
      </c>
      <c r="M370" s="552">
        <f t="shared" si="27"/>
        <v>-175757.63839074876</v>
      </c>
      <c r="N370" s="572">
        <v>6932414.1715410287</v>
      </c>
      <c r="O370" s="552">
        <f t="shared" si="28"/>
        <v>-175757.63839074876</v>
      </c>
      <c r="P370" s="552">
        <f t="shared" si="29"/>
        <v>0</v>
      </c>
    </row>
    <row r="371" spans="3:16">
      <c r="C371" s="548">
        <f>IF(D355="","-",+C370+1)</f>
        <v>2024</v>
      </c>
      <c r="D371" s="506">
        <f t="shared" si="30"/>
        <v>45149890.234166697</v>
      </c>
      <c r="E371" s="549">
        <f t="shared" si="32"/>
        <v>1682604.605</v>
      </c>
      <c r="F371" s="549">
        <f t="shared" si="26"/>
        <v>43467285.6291667</v>
      </c>
      <c r="G371" s="506">
        <f t="shared" si="31"/>
        <v>44308587.931666702</v>
      </c>
      <c r="H371" s="554">
        <f>+J356*G371+E371</f>
        <v>6571020.4869984426</v>
      </c>
      <c r="I371" s="555">
        <f>+J357*G371+E371</f>
        <v>6571020.4869984426</v>
      </c>
      <c r="J371" s="552">
        <f t="shared" si="33"/>
        <v>0</v>
      </c>
      <c r="K371" s="552"/>
      <c r="L371" s="572">
        <v>6707065.8658797545</v>
      </c>
      <c r="M371" s="552">
        <f t="shared" si="27"/>
        <v>-136045.37888131198</v>
      </c>
      <c r="N371" s="572">
        <v>6707065.8658797545</v>
      </c>
      <c r="O371" s="552">
        <f t="shared" si="28"/>
        <v>-136045.37888131198</v>
      </c>
      <c r="P371" s="552">
        <f t="shared" si="29"/>
        <v>0</v>
      </c>
    </row>
    <row r="372" spans="3:16">
      <c r="C372" s="548">
        <f>IF(D355="","-",+C371+1)</f>
        <v>2025</v>
      </c>
      <c r="D372" s="506">
        <f t="shared" si="30"/>
        <v>43467285.6291667</v>
      </c>
      <c r="E372" s="549">
        <f t="shared" si="32"/>
        <v>1682604.605</v>
      </c>
      <c r="F372" s="549">
        <f t="shared" si="26"/>
        <v>41784681.024166703</v>
      </c>
      <c r="G372" s="506">
        <f t="shared" si="31"/>
        <v>42625983.326666698</v>
      </c>
      <c r="H372" s="554">
        <f>+J356*G372+E372</f>
        <v>6385384.4408466034</v>
      </c>
      <c r="I372" s="555">
        <f>+J357*G372+E372</f>
        <v>6385384.4408466034</v>
      </c>
      <c r="J372" s="552">
        <f t="shared" si="33"/>
        <v>0</v>
      </c>
      <c r="K372" s="552"/>
      <c r="L372" s="572">
        <v>6581372.5805551503</v>
      </c>
      <c r="M372" s="552">
        <f t="shared" si="27"/>
        <v>-195988.13970854692</v>
      </c>
      <c r="N372" s="572">
        <v>6581372.5805551503</v>
      </c>
      <c r="O372" s="552">
        <f t="shared" si="28"/>
        <v>-195988.13970854692</v>
      </c>
      <c r="P372" s="552">
        <f t="shared" si="29"/>
        <v>0</v>
      </c>
    </row>
    <row r="373" spans="3:16">
      <c r="C373" s="548">
        <f>IF(D355="","-",+C372+1)</f>
        <v>2026</v>
      </c>
      <c r="D373" s="506">
        <f t="shared" si="30"/>
        <v>41784681.024166703</v>
      </c>
      <c r="E373" s="549">
        <f t="shared" si="32"/>
        <v>1682604.605</v>
      </c>
      <c r="F373" s="549">
        <f t="shared" si="26"/>
        <v>40102076.419166707</v>
      </c>
      <c r="G373" s="506">
        <f t="shared" si="31"/>
        <v>40943378.721666709</v>
      </c>
      <c r="H373" s="554">
        <f>+J356*G373+E373</f>
        <v>6199748.3946947642</v>
      </c>
      <c r="I373" s="555">
        <f>+J357*G373+E373</f>
        <v>6199748.3946947642</v>
      </c>
      <c r="J373" s="552">
        <f t="shared" si="33"/>
        <v>0</v>
      </c>
      <c r="K373" s="552"/>
      <c r="L373" s="572"/>
      <c r="M373" s="552">
        <f t="shared" si="27"/>
        <v>0</v>
      </c>
      <c r="N373" s="572"/>
      <c r="O373" s="552">
        <f t="shared" si="28"/>
        <v>0</v>
      </c>
      <c r="P373" s="552">
        <f t="shared" si="29"/>
        <v>0</v>
      </c>
    </row>
    <row r="374" spans="3:16">
      <c r="C374" s="548">
        <f>IF(D355="","-",+C373+1)</f>
        <v>2027</v>
      </c>
      <c r="D374" s="506">
        <f t="shared" si="30"/>
        <v>40102076.419166707</v>
      </c>
      <c r="E374" s="549">
        <f t="shared" si="32"/>
        <v>1682604.605</v>
      </c>
      <c r="F374" s="549">
        <f t="shared" si="26"/>
        <v>38419471.81416671</v>
      </c>
      <c r="G374" s="506">
        <f t="shared" si="31"/>
        <v>39260774.116666704</v>
      </c>
      <c r="H374" s="554">
        <f>+J356*G374+E374</f>
        <v>6014112.348542925</v>
      </c>
      <c r="I374" s="555">
        <f>+J357*G374+E374</f>
        <v>6014112.348542925</v>
      </c>
      <c r="J374" s="552">
        <f t="shared" si="33"/>
        <v>0</v>
      </c>
      <c r="K374" s="552"/>
      <c r="L374" s="572"/>
      <c r="M374" s="552">
        <f t="shared" si="27"/>
        <v>0</v>
      </c>
      <c r="N374" s="572"/>
      <c r="O374" s="552">
        <f t="shared" si="28"/>
        <v>0</v>
      </c>
      <c r="P374" s="552">
        <f t="shared" si="29"/>
        <v>0</v>
      </c>
    </row>
    <row r="375" spans="3:16">
      <c r="C375" s="548">
        <f>IF(D355="","-",+C374+1)</f>
        <v>2028</v>
      </c>
      <c r="D375" s="506">
        <f t="shared" si="30"/>
        <v>38419471.81416671</v>
      </c>
      <c r="E375" s="549">
        <f t="shared" si="32"/>
        <v>1682604.605</v>
      </c>
      <c r="F375" s="549">
        <f t="shared" si="26"/>
        <v>36736867.209166713</v>
      </c>
      <c r="G375" s="506">
        <f t="shared" si="31"/>
        <v>37578169.511666715</v>
      </c>
      <c r="H375" s="554">
        <f>+J356*G375+E375</f>
        <v>5828476.3023910858</v>
      </c>
      <c r="I375" s="555">
        <f>+J357*G375+E375</f>
        <v>5828476.3023910858</v>
      </c>
      <c r="J375" s="552">
        <f t="shared" si="33"/>
        <v>0</v>
      </c>
      <c r="K375" s="552"/>
      <c r="L375" s="572"/>
      <c r="M375" s="552">
        <f t="shared" si="27"/>
        <v>0</v>
      </c>
      <c r="N375" s="572"/>
      <c r="O375" s="552">
        <f t="shared" si="28"/>
        <v>0</v>
      </c>
      <c r="P375" s="552">
        <f t="shared" si="29"/>
        <v>0</v>
      </c>
    </row>
    <row r="376" spans="3:16">
      <c r="C376" s="548">
        <f>IF(D355="","-",+C375+1)</f>
        <v>2029</v>
      </c>
      <c r="D376" s="506">
        <f t="shared" si="30"/>
        <v>36736867.209166713</v>
      </c>
      <c r="E376" s="549">
        <f t="shared" si="32"/>
        <v>1682604.605</v>
      </c>
      <c r="F376" s="549">
        <f t="shared" si="26"/>
        <v>35054262.604166716</v>
      </c>
      <c r="G376" s="506">
        <f t="shared" si="31"/>
        <v>35895564.906666711</v>
      </c>
      <c r="H376" s="554">
        <f>+J356*G376+E376</f>
        <v>5642840.2562392466</v>
      </c>
      <c r="I376" s="555">
        <f>+J357*G376+E376</f>
        <v>5642840.2562392466</v>
      </c>
      <c r="J376" s="552">
        <f t="shared" si="33"/>
        <v>0</v>
      </c>
      <c r="K376" s="552"/>
      <c r="L376" s="572"/>
      <c r="M376" s="552">
        <f t="shared" si="27"/>
        <v>0</v>
      </c>
      <c r="N376" s="572"/>
      <c r="O376" s="552">
        <f t="shared" si="28"/>
        <v>0</v>
      </c>
      <c r="P376" s="552">
        <f t="shared" si="29"/>
        <v>0</v>
      </c>
    </row>
    <row r="377" spans="3:16">
      <c r="C377" s="548">
        <f>IF(D355="","-",+C376+1)</f>
        <v>2030</v>
      </c>
      <c r="D377" s="506">
        <f t="shared" si="30"/>
        <v>35054262.604166716</v>
      </c>
      <c r="E377" s="549">
        <f t="shared" si="32"/>
        <v>1682604.605</v>
      </c>
      <c r="F377" s="549">
        <f t="shared" si="26"/>
        <v>33371657.999166716</v>
      </c>
      <c r="G377" s="506">
        <f t="shared" si="31"/>
        <v>34212960.301666714</v>
      </c>
      <c r="H377" s="554">
        <f>+J356*G377+E377</f>
        <v>5457204.2100874074</v>
      </c>
      <c r="I377" s="555">
        <f>+J357*G377+E377</f>
        <v>5457204.2100874074</v>
      </c>
      <c r="J377" s="552">
        <f t="shared" si="33"/>
        <v>0</v>
      </c>
      <c r="K377" s="552"/>
      <c r="L377" s="572"/>
      <c r="M377" s="552">
        <f t="shared" si="27"/>
        <v>0</v>
      </c>
      <c r="N377" s="572"/>
      <c r="O377" s="552">
        <f t="shared" si="28"/>
        <v>0</v>
      </c>
      <c r="P377" s="552">
        <f t="shared" si="29"/>
        <v>0</v>
      </c>
    </row>
    <row r="378" spans="3:16">
      <c r="C378" s="548">
        <f>IF(D355="","-",+C377+1)</f>
        <v>2031</v>
      </c>
      <c r="D378" s="506">
        <f t="shared" si="30"/>
        <v>33371657.999166716</v>
      </c>
      <c r="E378" s="549">
        <f t="shared" si="32"/>
        <v>1682604.605</v>
      </c>
      <c r="F378" s="549">
        <f t="shared" si="26"/>
        <v>31689053.394166715</v>
      </c>
      <c r="G378" s="506">
        <f t="shared" si="31"/>
        <v>32530355.696666718</v>
      </c>
      <c r="H378" s="554">
        <f>+J356*G378+E378</f>
        <v>5271568.1639355682</v>
      </c>
      <c r="I378" s="555">
        <f>+J357*G378+E378</f>
        <v>5271568.1639355682</v>
      </c>
      <c r="J378" s="552">
        <f t="shared" si="33"/>
        <v>0</v>
      </c>
      <c r="K378" s="552"/>
      <c r="L378" s="572"/>
      <c r="M378" s="552">
        <f t="shared" si="27"/>
        <v>0</v>
      </c>
      <c r="N378" s="572"/>
      <c r="O378" s="552">
        <f t="shared" si="28"/>
        <v>0</v>
      </c>
      <c r="P378" s="552">
        <f t="shared" si="29"/>
        <v>0</v>
      </c>
    </row>
    <row r="379" spans="3:16">
      <c r="C379" s="548">
        <f>IF(D355="","-",+C378+1)</f>
        <v>2032</v>
      </c>
      <c r="D379" s="506">
        <f t="shared" si="30"/>
        <v>31689053.394166715</v>
      </c>
      <c r="E379" s="549">
        <f t="shared" si="32"/>
        <v>1682604.605</v>
      </c>
      <c r="F379" s="549">
        <f t="shared" si="26"/>
        <v>30006448.789166715</v>
      </c>
      <c r="G379" s="506">
        <f t="shared" si="31"/>
        <v>30847751.091666713</v>
      </c>
      <c r="H379" s="554">
        <f>+J356*G379+E379</f>
        <v>5085932.1177837281</v>
      </c>
      <c r="I379" s="555">
        <f>+J357*G379+E379</f>
        <v>5085932.1177837281</v>
      </c>
      <c r="J379" s="552">
        <f t="shared" si="33"/>
        <v>0</v>
      </c>
      <c r="K379" s="552"/>
      <c r="L379" s="572"/>
      <c r="M379" s="552">
        <f t="shared" si="27"/>
        <v>0</v>
      </c>
      <c r="N379" s="572"/>
      <c r="O379" s="552">
        <f t="shared" si="28"/>
        <v>0</v>
      </c>
      <c r="P379" s="552">
        <f t="shared" si="29"/>
        <v>0</v>
      </c>
    </row>
    <row r="380" spans="3:16">
      <c r="C380" s="548">
        <f>IF(D355="","-",+C379+1)</f>
        <v>2033</v>
      </c>
      <c r="D380" s="506">
        <f t="shared" si="30"/>
        <v>30006448.789166715</v>
      </c>
      <c r="E380" s="549">
        <f t="shared" si="32"/>
        <v>1682604.605</v>
      </c>
      <c r="F380" s="549">
        <f t="shared" si="26"/>
        <v>28323844.184166715</v>
      </c>
      <c r="G380" s="506">
        <f t="shared" si="31"/>
        <v>29165146.486666717</v>
      </c>
      <c r="H380" s="554">
        <f>+J356*G380+E380</f>
        <v>4900296.0716318898</v>
      </c>
      <c r="I380" s="555">
        <f>+J357*G380+E380</f>
        <v>4900296.0716318898</v>
      </c>
      <c r="J380" s="552">
        <f t="shared" si="33"/>
        <v>0</v>
      </c>
      <c r="K380" s="552"/>
      <c r="L380" s="572"/>
      <c r="M380" s="552">
        <f t="shared" si="27"/>
        <v>0</v>
      </c>
      <c r="N380" s="572"/>
      <c r="O380" s="552">
        <f t="shared" si="28"/>
        <v>0</v>
      </c>
      <c r="P380" s="552">
        <f t="shared" si="29"/>
        <v>0</v>
      </c>
    </row>
    <row r="381" spans="3:16">
      <c r="C381" s="548">
        <f>IF(D355="","-",+C380+1)</f>
        <v>2034</v>
      </c>
      <c r="D381" s="506">
        <f t="shared" si="30"/>
        <v>28323844.184166715</v>
      </c>
      <c r="E381" s="549">
        <f t="shared" si="32"/>
        <v>1682604.605</v>
      </c>
      <c r="F381" s="549">
        <f t="shared" si="26"/>
        <v>26641239.579166714</v>
      </c>
      <c r="G381" s="506">
        <f t="shared" si="31"/>
        <v>27482541.881666712</v>
      </c>
      <c r="H381" s="554">
        <f>+J356*G381+E381</f>
        <v>4714660.0254800487</v>
      </c>
      <c r="I381" s="555">
        <f>+J357*G381+E381</f>
        <v>4714660.0254800487</v>
      </c>
      <c r="J381" s="552">
        <f t="shared" si="33"/>
        <v>0</v>
      </c>
      <c r="K381" s="552"/>
      <c r="L381" s="572"/>
      <c r="M381" s="552">
        <f t="shared" si="27"/>
        <v>0</v>
      </c>
      <c r="N381" s="572"/>
      <c r="O381" s="552">
        <f t="shared" si="28"/>
        <v>0</v>
      </c>
      <c r="P381" s="552">
        <f t="shared" si="29"/>
        <v>0</v>
      </c>
    </row>
    <row r="382" spans="3:16">
      <c r="C382" s="548">
        <f>IF(D355="","-",+C381+1)</f>
        <v>2035</v>
      </c>
      <c r="D382" s="506">
        <f t="shared" si="30"/>
        <v>26641239.579166714</v>
      </c>
      <c r="E382" s="549">
        <f t="shared" si="32"/>
        <v>1682604.605</v>
      </c>
      <c r="F382" s="549">
        <f t="shared" si="26"/>
        <v>24958634.974166714</v>
      </c>
      <c r="G382" s="506">
        <f t="shared" si="31"/>
        <v>25799937.276666716</v>
      </c>
      <c r="H382" s="554">
        <f>+J356*G382+E382</f>
        <v>4529023.9793282095</v>
      </c>
      <c r="I382" s="555">
        <f>+J357*G382+E382</f>
        <v>4529023.9793282095</v>
      </c>
      <c r="J382" s="552">
        <f t="shared" si="33"/>
        <v>0</v>
      </c>
      <c r="K382" s="552"/>
      <c r="L382" s="572"/>
      <c r="M382" s="552">
        <f t="shared" si="27"/>
        <v>0</v>
      </c>
      <c r="N382" s="572"/>
      <c r="O382" s="552">
        <f t="shared" si="28"/>
        <v>0</v>
      </c>
      <c r="P382" s="552">
        <f t="shared" si="29"/>
        <v>0</v>
      </c>
    </row>
    <row r="383" spans="3:16">
      <c r="C383" s="548">
        <f>IF(D355="","-",+C382+1)</f>
        <v>2036</v>
      </c>
      <c r="D383" s="506">
        <f t="shared" si="30"/>
        <v>24958634.974166714</v>
      </c>
      <c r="E383" s="549">
        <f t="shared" si="32"/>
        <v>1682604.605</v>
      </c>
      <c r="F383" s="549">
        <f t="shared" si="26"/>
        <v>23276030.369166713</v>
      </c>
      <c r="G383" s="506">
        <f t="shared" si="31"/>
        <v>24117332.671666712</v>
      </c>
      <c r="H383" s="554">
        <f>+J356*G383+E383</f>
        <v>4343387.9331763703</v>
      </c>
      <c r="I383" s="555">
        <f>+J357*G383+E383</f>
        <v>4343387.9331763703</v>
      </c>
      <c r="J383" s="552">
        <f t="shared" si="33"/>
        <v>0</v>
      </c>
      <c r="K383" s="552"/>
      <c r="L383" s="572"/>
      <c r="M383" s="552">
        <f t="shared" si="27"/>
        <v>0</v>
      </c>
      <c r="N383" s="572"/>
      <c r="O383" s="552">
        <f t="shared" si="28"/>
        <v>0</v>
      </c>
      <c r="P383" s="552">
        <f t="shared" si="29"/>
        <v>0</v>
      </c>
    </row>
    <row r="384" spans="3:16">
      <c r="C384" s="548">
        <f>IF(D355="","-",+C383+1)</f>
        <v>2037</v>
      </c>
      <c r="D384" s="506">
        <f t="shared" si="30"/>
        <v>23276030.369166713</v>
      </c>
      <c r="E384" s="549">
        <f t="shared" si="32"/>
        <v>1682604.605</v>
      </c>
      <c r="F384" s="549">
        <f t="shared" si="26"/>
        <v>21593425.764166713</v>
      </c>
      <c r="G384" s="506">
        <f t="shared" si="31"/>
        <v>22434728.066666715</v>
      </c>
      <c r="H384" s="554">
        <f>+J356*G384+E384</f>
        <v>4157751.8870245311</v>
      </c>
      <c r="I384" s="555">
        <f>+J357*G384+E384</f>
        <v>4157751.8870245311</v>
      </c>
      <c r="J384" s="552">
        <f t="shared" si="33"/>
        <v>0</v>
      </c>
      <c r="K384" s="552"/>
      <c r="L384" s="572"/>
      <c r="M384" s="552">
        <f t="shared" si="27"/>
        <v>0</v>
      </c>
      <c r="N384" s="572"/>
      <c r="O384" s="552">
        <f t="shared" si="28"/>
        <v>0</v>
      </c>
      <c r="P384" s="552">
        <f t="shared" si="29"/>
        <v>0</v>
      </c>
    </row>
    <row r="385" spans="3:16">
      <c r="C385" s="548">
        <f>IF(D355="","-",+C384+1)</f>
        <v>2038</v>
      </c>
      <c r="D385" s="506">
        <f t="shared" si="30"/>
        <v>21593425.764166713</v>
      </c>
      <c r="E385" s="549">
        <f t="shared" si="32"/>
        <v>1682604.605</v>
      </c>
      <c r="F385" s="549">
        <f t="shared" si="26"/>
        <v>19910821.159166712</v>
      </c>
      <c r="G385" s="506">
        <f t="shared" si="31"/>
        <v>20752123.461666711</v>
      </c>
      <c r="H385" s="554">
        <f>+J356*G385+E385</f>
        <v>3972115.8408726915</v>
      </c>
      <c r="I385" s="555">
        <f>+J357*G385+E385</f>
        <v>3972115.8408726915</v>
      </c>
      <c r="J385" s="552">
        <f t="shared" si="33"/>
        <v>0</v>
      </c>
      <c r="K385" s="552"/>
      <c r="L385" s="572"/>
      <c r="M385" s="552">
        <f t="shared" si="27"/>
        <v>0</v>
      </c>
      <c r="N385" s="572"/>
      <c r="O385" s="552">
        <f t="shared" si="28"/>
        <v>0</v>
      </c>
      <c r="P385" s="552">
        <f t="shared" si="29"/>
        <v>0</v>
      </c>
    </row>
    <row r="386" spans="3:16">
      <c r="C386" s="548">
        <f>IF(D355="","-",+C385+1)</f>
        <v>2039</v>
      </c>
      <c r="D386" s="506">
        <f t="shared" si="30"/>
        <v>19910821.159166712</v>
      </c>
      <c r="E386" s="549">
        <f t="shared" si="32"/>
        <v>1682604.605</v>
      </c>
      <c r="F386" s="549">
        <f t="shared" si="26"/>
        <v>18228216.554166712</v>
      </c>
      <c r="G386" s="506">
        <f t="shared" si="31"/>
        <v>19069518.856666714</v>
      </c>
      <c r="H386" s="554">
        <f>+J356*G386+E386</f>
        <v>3786479.7947208523</v>
      </c>
      <c r="I386" s="555">
        <f>+J357*G386+E386</f>
        <v>3786479.7947208523</v>
      </c>
      <c r="J386" s="552">
        <f t="shared" si="33"/>
        <v>0</v>
      </c>
      <c r="K386" s="552"/>
      <c r="L386" s="572"/>
      <c r="M386" s="552">
        <f t="shared" si="27"/>
        <v>0</v>
      </c>
      <c r="N386" s="572"/>
      <c r="O386" s="552">
        <f t="shared" si="28"/>
        <v>0</v>
      </c>
      <c r="P386" s="552">
        <f t="shared" si="29"/>
        <v>0</v>
      </c>
    </row>
    <row r="387" spans="3:16">
      <c r="C387" s="548">
        <f>IF(D355="","-",+C386+1)</f>
        <v>2040</v>
      </c>
      <c r="D387" s="506">
        <f t="shared" si="30"/>
        <v>18228216.554166712</v>
      </c>
      <c r="E387" s="549">
        <f t="shared" si="32"/>
        <v>1682604.605</v>
      </c>
      <c r="F387" s="549">
        <f t="shared" si="26"/>
        <v>16545611.949166711</v>
      </c>
      <c r="G387" s="506">
        <f t="shared" si="31"/>
        <v>17386914.25166671</v>
      </c>
      <c r="H387" s="554">
        <f>+J356*G387+E387</f>
        <v>3600843.7485690126</v>
      </c>
      <c r="I387" s="555">
        <f>+J357*G387+E387</f>
        <v>3600843.7485690126</v>
      </c>
      <c r="J387" s="552">
        <f t="shared" si="33"/>
        <v>0</v>
      </c>
      <c r="K387" s="552"/>
      <c r="L387" s="572"/>
      <c r="M387" s="552">
        <f t="shared" si="27"/>
        <v>0</v>
      </c>
      <c r="N387" s="572"/>
      <c r="O387" s="552">
        <f t="shared" si="28"/>
        <v>0</v>
      </c>
      <c r="P387" s="552">
        <f t="shared" si="29"/>
        <v>0</v>
      </c>
    </row>
    <row r="388" spans="3:16">
      <c r="C388" s="548">
        <f>IF(D355="","-",+C387+1)</f>
        <v>2041</v>
      </c>
      <c r="D388" s="506">
        <f t="shared" si="30"/>
        <v>16545611.949166711</v>
      </c>
      <c r="E388" s="549">
        <f t="shared" si="32"/>
        <v>1682604.605</v>
      </c>
      <c r="F388" s="549">
        <f t="shared" si="26"/>
        <v>14863007.344166711</v>
      </c>
      <c r="G388" s="506">
        <f t="shared" si="31"/>
        <v>15704309.646666711</v>
      </c>
      <c r="H388" s="554">
        <f>+J356*G388+E388</f>
        <v>3415207.702417173</v>
      </c>
      <c r="I388" s="555">
        <f>+J357*G388+E388</f>
        <v>3415207.702417173</v>
      </c>
      <c r="J388" s="552">
        <f t="shared" si="33"/>
        <v>0</v>
      </c>
      <c r="K388" s="552"/>
      <c r="L388" s="572"/>
      <c r="M388" s="552">
        <f t="shared" si="27"/>
        <v>0</v>
      </c>
      <c r="N388" s="572"/>
      <c r="O388" s="552">
        <f t="shared" si="28"/>
        <v>0</v>
      </c>
      <c r="P388" s="552">
        <f t="shared" si="29"/>
        <v>0</v>
      </c>
    </row>
    <row r="389" spans="3:16">
      <c r="C389" s="548">
        <f>IF(D355="","-",+C388+1)</f>
        <v>2042</v>
      </c>
      <c r="D389" s="506">
        <f t="shared" si="30"/>
        <v>14863007.344166711</v>
      </c>
      <c r="E389" s="549">
        <f t="shared" si="32"/>
        <v>1682604.605</v>
      </c>
      <c r="F389" s="549">
        <f t="shared" si="26"/>
        <v>13180402.739166711</v>
      </c>
      <c r="G389" s="506">
        <f t="shared" si="31"/>
        <v>14021705.041666711</v>
      </c>
      <c r="H389" s="554">
        <f>+J356*G389+E389</f>
        <v>3229571.6562653333</v>
      </c>
      <c r="I389" s="555">
        <f>+J357*G389+E389</f>
        <v>3229571.6562653333</v>
      </c>
      <c r="J389" s="552">
        <f t="shared" si="33"/>
        <v>0</v>
      </c>
      <c r="K389" s="552"/>
      <c r="L389" s="572"/>
      <c r="M389" s="552">
        <f t="shared" si="27"/>
        <v>0</v>
      </c>
      <c r="N389" s="572"/>
      <c r="O389" s="552">
        <f t="shared" si="28"/>
        <v>0</v>
      </c>
      <c r="P389" s="552">
        <f t="shared" si="29"/>
        <v>0</v>
      </c>
    </row>
    <row r="390" spans="3:16">
      <c r="C390" s="548">
        <f>IF(D355="","-",+C389+1)</f>
        <v>2043</v>
      </c>
      <c r="D390" s="506">
        <f t="shared" si="30"/>
        <v>13180402.739166711</v>
      </c>
      <c r="E390" s="549">
        <f t="shared" si="32"/>
        <v>1682604.605</v>
      </c>
      <c r="F390" s="549">
        <f t="shared" si="26"/>
        <v>11497798.13416671</v>
      </c>
      <c r="G390" s="506">
        <f t="shared" si="31"/>
        <v>12339100.43666671</v>
      </c>
      <c r="H390" s="554">
        <f>+J356*G390+E390</f>
        <v>3043935.6101134941</v>
      </c>
      <c r="I390" s="555">
        <f>+J357*G390+E390</f>
        <v>3043935.6101134941</v>
      </c>
      <c r="J390" s="552">
        <f t="shared" si="33"/>
        <v>0</v>
      </c>
      <c r="K390" s="552"/>
      <c r="L390" s="572"/>
      <c r="M390" s="552">
        <f t="shared" si="27"/>
        <v>0</v>
      </c>
      <c r="N390" s="572"/>
      <c r="O390" s="552">
        <f t="shared" si="28"/>
        <v>0</v>
      </c>
      <c r="P390" s="552">
        <f t="shared" si="29"/>
        <v>0</v>
      </c>
    </row>
    <row r="391" spans="3:16">
      <c r="C391" s="548">
        <f>IF(D355="","-",+C390+1)</f>
        <v>2044</v>
      </c>
      <c r="D391" s="506">
        <f t="shared" si="30"/>
        <v>11497798.13416671</v>
      </c>
      <c r="E391" s="549">
        <f t="shared" si="32"/>
        <v>1682604.605</v>
      </c>
      <c r="F391" s="549">
        <f t="shared" si="26"/>
        <v>9815193.5291667096</v>
      </c>
      <c r="G391" s="506">
        <f t="shared" si="31"/>
        <v>10656495.83166671</v>
      </c>
      <c r="H391" s="554">
        <f>+J356*G391+E391</f>
        <v>2858299.5639616544</v>
      </c>
      <c r="I391" s="555">
        <f>+J357*G391+E391</f>
        <v>2858299.5639616544</v>
      </c>
      <c r="J391" s="552">
        <f t="shared" si="33"/>
        <v>0</v>
      </c>
      <c r="K391" s="552"/>
      <c r="L391" s="572"/>
      <c r="M391" s="552">
        <f t="shared" si="27"/>
        <v>0</v>
      </c>
      <c r="N391" s="572"/>
      <c r="O391" s="552">
        <f t="shared" si="28"/>
        <v>0</v>
      </c>
      <c r="P391" s="552">
        <f t="shared" si="29"/>
        <v>0</v>
      </c>
    </row>
    <row r="392" spans="3:16">
      <c r="C392" s="548">
        <f>IF(D355="","-",+C391+1)</f>
        <v>2045</v>
      </c>
      <c r="D392" s="506">
        <f t="shared" si="30"/>
        <v>9815193.5291667096</v>
      </c>
      <c r="E392" s="549">
        <f t="shared" si="32"/>
        <v>1682604.605</v>
      </c>
      <c r="F392" s="549">
        <f t="shared" si="26"/>
        <v>8132588.9241667092</v>
      </c>
      <c r="G392" s="506">
        <f t="shared" si="31"/>
        <v>8973891.2266667094</v>
      </c>
      <c r="H392" s="554">
        <f>+J356*G392+E392</f>
        <v>2672663.5178098148</v>
      </c>
      <c r="I392" s="555">
        <f>+J357*G392+E392</f>
        <v>2672663.5178098148</v>
      </c>
      <c r="J392" s="552">
        <f t="shared" si="33"/>
        <v>0</v>
      </c>
      <c r="K392" s="552"/>
      <c r="L392" s="572"/>
      <c r="M392" s="552">
        <f t="shared" si="27"/>
        <v>0</v>
      </c>
      <c r="N392" s="572"/>
      <c r="O392" s="552">
        <f t="shared" si="28"/>
        <v>0</v>
      </c>
      <c r="P392" s="552">
        <f t="shared" si="29"/>
        <v>0</v>
      </c>
    </row>
    <row r="393" spans="3:16">
      <c r="C393" s="548">
        <f>IF(D355="","-",+C392+1)</f>
        <v>2046</v>
      </c>
      <c r="D393" s="506">
        <f t="shared" si="30"/>
        <v>8132588.9241667092</v>
      </c>
      <c r="E393" s="549">
        <f t="shared" si="32"/>
        <v>1682604.605</v>
      </c>
      <c r="F393" s="549">
        <f t="shared" si="26"/>
        <v>6449984.3191667087</v>
      </c>
      <c r="G393" s="506">
        <f t="shared" si="31"/>
        <v>7291286.621666709</v>
      </c>
      <c r="H393" s="554">
        <f>+J356*G393+E393</f>
        <v>2487027.4716579756</v>
      </c>
      <c r="I393" s="555">
        <f>+J357*G393+E393</f>
        <v>2487027.4716579756</v>
      </c>
      <c r="J393" s="552">
        <f t="shared" si="33"/>
        <v>0</v>
      </c>
      <c r="K393" s="552"/>
      <c r="L393" s="572"/>
      <c r="M393" s="552">
        <f t="shared" si="27"/>
        <v>0</v>
      </c>
      <c r="N393" s="572"/>
      <c r="O393" s="552">
        <f t="shared" si="28"/>
        <v>0</v>
      </c>
      <c r="P393" s="552">
        <f t="shared" si="29"/>
        <v>0</v>
      </c>
    </row>
    <row r="394" spans="3:16">
      <c r="C394" s="548">
        <f>IF(D355="","-",+C393+1)</f>
        <v>2047</v>
      </c>
      <c r="D394" s="506">
        <f t="shared" si="30"/>
        <v>6449984.3191667087</v>
      </c>
      <c r="E394" s="549">
        <f t="shared" si="32"/>
        <v>1682604.605</v>
      </c>
      <c r="F394" s="549">
        <f t="shared" si="26"/>
        <v>4767379.7141667083</v>
      </c>
      <c r="G394" s="506">
        <f t="shared" si="31"/>
        <v>5608682.0166667085</v>
      </c>
      <c r="H394" s="554">
        <f>+J356*G394+E394</f>
        <v>2301391.4255061359</v>
      </c>
      <c r="I394" s="555">
        <f>+J357*G394+E394</f>
        <v>2301391.4255061359</v>
      </c>
      <c r="J394" s="552">
        <f t="shared" si="33"/>
        <v>0</v>
      </c>
      <c r="K394" s="552"/>
      <c r="L394" s="572"/>
      <c r="M394" s="552">
        <f t="shared" si="27"/>
        <v>0</v>
      </c>
      <c r="N394" s="572"/>
      <c r="O394" s="552">
        <f t="shared" si="28"/>
        <v>0</v>
      </c>
      <c r="P394" s="552">
        <f t="shared" si="29"/>
        <v>0</v>
      </c>
    </row>
    <row r="395" spans="3:16">
      <c r="C395" s="548">
        <f>IF(D355="","-",+C394+1)</f>
        <v>2048</v>
      </c>
      <c r="D395" s="506">
        <f t="shared" si="30"/>
        <v>4767379.7141667083</v>
      </c>
      <c r="E395" s="549">
        <f t="shared" si="32"/>
        <v>1682604.605</v>
      </c>
      <c r="F395" s="549">
        <f t="shared" si="26"/>
        <v>3084775.1091667083</v>
      </c>
      <c r="G395" s="506">
        <f t="shared" si="31"/>
        <v>3926077.4116667081</v>
      </c>
      <c r="H395" s="554">
        <f>+J356*G395+E395</f>
        <v>2115755.3793542967</v>
      </c>
      <c r="I395" s="555">
        <f>+J357*G395+E395</f>
        <v>2115755.3793542967</v>
      </c>
      <c r="J395" s="552">
        <f t="shared" si="33"/>
        <v>0</v>
      </c>
      <c r="K395" s="552"/>
      <c r="L395" s="572"/>
      <c r="M395" s="552">
        <f t="shared" si="27"/>
        <v>0</v>
      </c>
      <c r="N395" s="572"/>
      <c r="O395" s="552">
        <f t="shared" si="28"/>
        <v>0</v>
      </c>
      <c r="P395" s="552">
        <f t="shared" si="29"/>
        <v>0</v>
      </c>
    </row>
    <row r="396" spans="3:16">
      <c r="C396" s="548">
        <f>IF(D355="","-",+C395+1)</f>
        <v>2049</v>
      </c>
      <c r="D396" s="506">
        <f t="shared" si="30"/>
        <v>3084775.1091667083</v>
      </c>
      <c r="E396" s="549">
        <f t="shared" si="32"/>
        <v>1682604.605</v>
      </c>
      <c r="F396" s="549">
        <f t="shared" si="26"/>
        <v>1402170.5041667083</v>
      </c>
      <c r="G396" s="506">
        <f t="shared" si="31"/>
        <v>2243472.8066667086</v>
      </c>
      <c r="H396" s="554">
        <f>+J356*G396+E396</f>
        <v>1930119.3332024573</v>
      </c>
      <c r="I396" s="555">
        <f>+J357*G396+E396</f>
        <v>1930119.3332024573</v>
      </c>
      <c r="J396" s="552">
        <f t="shared" si="33"/>
        <v>0</v>
      </c>
      <c r="K396" s="552"/>
      <c r="L396" s="572"/>
      <c r="M396" s="552">
        <f t="shared" si="27"/>
        <v>0</v>
      </c>
      <c r="N396" s="572"/>
      <c r="O396" s="552">
        <f t="shared" si="28"/>
        <v>0</v>
      </c>
      <c r="P396" s="552">
        <f t="shared" si="29"/>
        <v>0</v>
      </c>
    </row>
    <row r="397" spans="3:16">
      <c r="C397" s="548">
        <f>IF(D355="","-",+C396+1)</f>
        <v>2050</v>
      </c>
      <c r="D397" s="506">
        <f t="shared" si="30"/>
        <v>1402170.5041667083</v>
      </c>
      <c r="E397" s="549">
        <f t="shared" si="32"/>
        <v>1402170.5041667083</v>
      </c>
      <c r="F397" s="549">
        <f t="shared" si="26"/>
        <v>0</v>
      </c>
      <c r="G397" s="506">
        <f t="shared" si="31"/>
        <v>701085.25208335416</v>
      </c>
      <c r="H397" s="554">
        <f>+J356*G397+E397</f>
        <v>1479518.8567299771</v>
      </c>
      <c r="I397" s="555">
        <f>+J357*G397+E397</f>
        <v>1479518.8567299771</v>
      </c>
      <c r="J397" s="552">
        <f t="shared" si="33"/>
        <v>0</v>
      </c>
      <c r="K397" s="552"/>
      <c r="L397" s="572"/>
      <c r="M397" s="552">
        <f t="shared" si="27"/>
        <v>0</v>
      </c>
      <c r="N397" s="572"/>
      <c r="O397" s="552">
        <f t="shared" si="28"/>
        <v>0</v>
      </c>
      <c r="P397" s="552">
        <f t="shared" si="29"/>
        <v>0</v>
      </c>
    </row>
    <row r="398" spans="3:16">
      <c r="C398" s="548">
        <f>IF(D355="","-",+C397+1)</f>
        <v>2051</v>
      </c>
      <c r="D398" s="506">
        <f t="shared" si="30"/>
        <v>0</v>
      </c>
      <c r="E398" s="549">
        <f t="shared" si="32"/>
        <v>0</v>
      </c>
      <c r="F398" s="549">
        <f t="shared" si="26"/>
        <v>0</v>
      </c>
      <c r="G398" s="506">
        <f t="shared" si="31"/>
        <v>0</v>
      </c>
      <c r="H398" s="554">
        <f>+J356*G398+E398</f>
        <v>0</v>
      </c>
      <c r="I398" s="555">
        <f>+J357*G398+E398</f>
        <v>0</v>
      </c>
      <c r="J398" s="552">
        <f t="shared" si="33"/>
        <v>0</v>
      </c>
      <c r="K398" s="552"/>
      <c r="L398" s="572"/>
      <c r="M398" s="552">
        <f t="shared" si="27"/>
        <v>0</v>
      </c>
      <c r="N398" s="572"/>
      <c r="O398" s="552">
        <f t="shared" si="28"/>
        <v>0</v>
      </c>
      <c r="P398" s="552">
        <f t="shared" si="29"/>
        <v>0</v>
      </c>
    </row>
    <row r="399" spans="3:16">
      <c r="C399" s="548">
        <f>IF(D355="","-",+C398+1)</f>
        <v>2052</v>
      </c>
      <c r="D399" s="506">
        <f t="shared" si="30"/>
        <v>0</v>
      </c>
      <c r="E399" s="549">
        <f t="shared" si="32"/>
        <v>0</v>
      </c>
      <c r="F399" s="549">
        <f t="shared" si="26"/>
        <v>0</v>
      </c>
      <c r="G399" s="506">
        <f t="shared" si="31"/>
        <v>0</v>
      </c>
      <c r="H399" s="554">
        <f>+J356*G399+E399</f>
        <v>0</v>
      </c>
      <c r="I399" s="555">
        <f>+J357*G399+E399</f>
        <v>0</v>
      </c>
      <c r="J399" s="552">
        <f t="shared" si="33"/>
        <v>0</v>
      </c>
      <c r="K399" s="552"/>
      <c r="L399" s="572"/>
      <c r="M399" s="552">
        <f t="shared" si="27"/>
        <v>0</v>
      </c>
      <c r="N399" s="572"/>
      <c r="O399" s="552">
        <f t="shared" si="28"/>
        <v>0</v>
      </c>
      <c r="P399" s="552">
        <f t="shared" si="29"/>
        <v>0</v>
      </c>
    </row>
    <row r="400" spans="3:16">
      <c r="C400" s="548">
        <f>IF(D355="","-",+C399+1)</f>
        <v>2053</v>
      </c>
      <c r="D400" s="506">
        <f t="shared" si="30"/>
        <v>0</v>
      </c>
      <c r="E400" s="549">
        <f t="shared" si="32"/>
        <v>0</v>
      </c>
      <c r="F400" s="549">
        <f t="shared" si="26"/>
        <v>0</v>
      </c>
      <c r="G400" s="506">
        <f t="shared" si="31"/>
        <v>0</v>
      </c>
      <c r="H400" s="554">
        <f>+J356*G400+E400</f>
        <v>0</v>
      </c>
      <c r="I400" s="555">
        <f>+J357*G400+E400</f>
        <v>0</v>
      </c>
      <c r="J400" s="552">
        <f t="shared" si="33"/>
        <v>0</v>
      </c>
      <c r="K400" s="552"/>
      <c r="L400" s="572"/>
      <c r="M400" s="552">
        <f t="shared" si="27"/>
        <v>0</v>
      </c>
      <c r="N400" s="572"/>
      <c r="O400" s="552">
        <f t="shared" si="28"/>
        <v>0</v>
      </c>
      <c r="P400" s="552">
        <f t="shared" si="29"/>
        <v>0</v>
      </c>
    </row>
    <row r="401" spans="3:16">
      <c r="C401" s="548">
        <f>IF(D355="","-",+C400+1)</f>
        <v>2054</v>
      </c>
      <c r="D401" s="506">
        <f t="shared" si="30"/>
        <v>0</v>
      </c>
      <c r="E401" s="549">
        <f t="shared" si="32"/>
        <v>0</v>
      </c>
      <c r="F401" s="549">
        <f t="shared" si="26"/>
        <v>0</v>
      </c>
      <c r="G401" s="506">
        <f t="shared" si="31"/>
        <v>0</v>
      </c>
      <c r="H401" s="554">
        <f>+J356*G401+E401</f>
        <v>0</v>
      </c>
      <c r="I401" s="555">
        <f>+J357*G401+E401</f>
        <v>0</v>
      </c>
      <c r="J401" s="552">
        <f t="shared" si="33"/>
        <v>0</v>
      </c>
      <c r="K401" s="552"/>
      <c r="L401" s="572"/>
      <c r="M401" s="552">
        <f t="shared" si="27"/>
        <v>0</v>
      </c>
      <c r="N401" s="572"/>
      <c r="O401" s="552">
        <f t="shared" si="28"/>
        <v>0</v>
      </c>
      <c r="P401" s="552">
        <f t="shared" si="29"/>
        <v>0</v>
      </c>
    </row>
    <row r="402" spans="3:16">
      <c r="C402" s="548">
        <f>IF(D355="","-",+C401+1)</f>
        <v>2055</v>
      </c>
      <c r="D402" s="506">
        <f t="shared" si="30"/>
        <v>0</v>
      </c>
      <c r="E402" s="549">
        <f t="shared" si="32"/>
        <v>0</v>
      </c>
      <c r="F402" s="549">
        <f t="shared" si="26"/>
        <v>0</v>
      </c>
      <c r="G402" s="506">
        <f t="shared" si="31"/>
        <v>0</v>
      </c>
      <c r="H402" s="554">
        <f>+J356*G402+E402</f>
        <v>0</v>
      </c>
      <c r="I402" s="555">
        <f>+J357*G402+E402</f>
        <v>0</v>
      </c>
      <c r="J402" s="552">
        <f t="shared" si="33"/>
        <v>0</v>
      </c>
      <c r="K402" s="552"/>
      <c r="L402" s="572"/>
      <c r="M402" s="552">
        <f t="shared" si="27"/>
        <v>0</v>
      </c>
      <c r="N402" s="572"/>
      <c r="O402" s="552">
        <f t="shared" si="28"/>
        <v>0</v>
      </c>
      <c r="P402" s="552">
        <f t="shared" si="29"/>
        <v>0</v>
      </c>
    </row>
    <row r="403" spans="3:16">
      <c r="C403" s="548">
        <f>IF(D355="","-",+C402+1)</f>
        <v>2056</v>
      </c>
      <c r="D403" s="506">
        <f t="shared" si="30"/>
        <v>0</v>
      </c>
      <c r="E403" s="549">
        <f t="shared" si="32"/>
        <v>0</v>
      </c>
      <c r="F403" s="549">
        <f t="shared" si="26"/>
        <v>0</v>
      </c>
      <c r="G403" s="506">
        <f t="shared" si="31"/>
        <v>0</v>
      </c>
      <c r="H403" s="554">
        <f>+J356*G403+E403</f>
        <v>0</v>
      </c>
      <c r="I403" s="555">
        <f>+J357*G403+E403</f>
        <v>0</v>
      </c>
      <c r="J403" s="552">
        <f t="shared" si="33"/>
        <v>0</v>
      </c>
      <c r="K403" s="552"/>
      <c r="L403" s="572"/>
      <c r="M403" s="552">
        <f t="shared" si="27"/>
        <v>0</v>
      </c>
      <c r="N403" s="572"/>
      <c r="O403" s="552">
        <f t="shared" si="28"/>
        <v>0</v>
      </c>
      <c r="P403" s="552">
        <f t="shared" si="29"/>
        <v>0</v>
      </c>
    </row>
    <row r="404" spans="3:16">
      <c r="C404" s="548">
        <f>IF(D355="","-",+C403+1)</f>
        <v>2057</v>
      </c>
      <c r="D404" s="506">
        <f t="shared" si="30"/>
        <v>0</v>
      </c>
      <c r="E404" s="549">
        <f t="shared" si="32"/>
        <v>0</v>
      </c>
      <c r="F404" s="549">
        <f t="shared" si="26"/>
        <v>0</v>
      </c>
      <c r="G404" s="506">
        <f t="shared" si="31"/>
        <v>0</v>
      </c>
      <c r="H404" s="554">
        <f>+J356*G404+E404</f>
        <v>0</v>
      </c>
      <c r="I404" s="555">
        <f>+J357*G404+E404</f>
        <v>0</v>
      </c>
      <c r="J404" s="552">
        <f t="shared" si="33"/>
        <v>0</v>
      </c>
      <c r="K404" s="552"/>
      <c r="L404" s="572"/>
      <c r="M404" s="552">
        <f t="shared" si="27"/>
        <v>0</v>
      </c>
      <c r="N404" s="572"/>
      <c r="O404" s="552">
        <f t="shared" si="28"/>
        <v>0</v>
      </c>
      <c r="P404" s="552">
        <f t="shared" si="29"/>
        <v>0</v>
      </c>
    </row>
    <row r="405" spans="3:16">
      <c r="C405" s="548">
        <f>IF(D355="","-",+C404+1)</f>
        <v>2058</v>
      </c>
      <c r="D405" s="506">
        <f t="shared" si="30"/>
        <v>0</v>
      </c>
      <c r="E405" s="549">
        <f t="shared" si="32"/>
        <v>0</v>
      </c>
      <c r="F405" s="549">
        <f t="shared" si="26"/>
        <v>0</v>
      </c>
      <c r="G405" s="506">
        <f t="shared" si="31"/>
        <v>0</v>
      </c>
      <c r="H405" s="554">
        <f>+J356*G405+E405</f>
        <v>0</v>
      </c>
      <c r="I405" s="555">
        <f>+J357*G405+E405</f>
        <v>0</v>
      </c>
      <c r="J405" s="552">
        <f t="shared" si="33"/>
        <v>0</v>
      </c>
      <c r="K405" s="552"/>
      <c r="L405" s="572"/>
      <c r="M405" s="552">
        <f t="shared" si="27"/>
        <v>0</v>
      </c>
      <c r="N405" s="572"/>
      <c r="O405" s="552">
        <f t="shared" si="28"/>
        <v>0</v>
      </c>
      <c r="P405" s="552">
        <f t="shared" si="29"/>
        <v>0</v>
      </c>
    </row>
    <row r="406" spans="3:16">
      <c r="C406" s="548">
        <f>IF(D355="","-",+C405+1)</f>
        <v>2059</v>
      </c>
      <c r="D406" s="506">
        <f t="shared" si="30"/>
        <v>0</v>
      </c>
      <c r="E406" s="549">
        <f t="shared" si="32"/>
        <v>0</v>
      </c>
      <c r="F406" s="549">
        <f t="shared" si="26"/>
        <v>0</v>
      </c>
      <c r="G406" s="506">
        <f t="shared" si="31"/>
        <v>0</v>
      </c>
      <c r="H406" s="554">
        <f>+J356*G406+E406</f>
        <v>0</v>
      </c>
      <c r="I406" s="555">
        <f>+J357*G406+E406</f>
        <v>0</v>
      </c>
      <c r="J406" s="552">
        <f t="shared" si="33"/>
        <v>0</v>
      </c>
      <c r="K406" s="552"/>
      <c r="L406" s="572"/>
      <c r="M406" s="552">
        <f t="shared" si="27"/>
        <v>0</v>
      </c>
      <c r="N406" s="572"/>
      <c r="O406" s="552">
        <f t="shared" si="28"/>
        <v>0</v>
      </c>
      <c r="P406" s="552">
        <f t="shared" si="29"/>
        <v>0</v>
      </c>
    </row>
    <row r="407" spans="3:16">
      <c r="C407" s="548">
        <f>IF(D355="","-",+C406+1)</f>
        <v>2060</v>
      </c>
      <c r="D407" s="506">
        <f t="shared" si="30"/>
        <v>0</v>
      </c>
      <c r="E407" s="549">
        <f t="shared" si="32"/>
        <v>0</v>
      </c>
      <c r="F407" s="549">
        <f t="shared" si="26"/>
        <v>0</v>
      </c>
      <c r="G407" s="506">
        <f t="shared" si="31"/>
        <v>0</v>
      </c>
      <c r="H407" s="554">
        <f>+J356*G407+E407</f>
        <v>0</v>
      </c>
      <c r="I407" s="555">
        <f>+J357*G407+E407</f>
        <v>0</v>
      </c>
      <c r="J407" s="552">
        <f t="shared" si="33"/>
        <v>0</v>
      </c>
      <c r="K407" s="552"/>
      <c r="L407" s="572"/>
      <c r="M407" s="552">
        <f t="shared" si="27"/>
        <v>0</v>
      </c>
      <c r="N407" s="572"/>
      <c r="O407" s="552">
        <f t="shared" si="28"/>
        <v>0</v>
      </c>
      <c r="P407" s="552">
        <f t="shared" si="29"/>
        <v>0</v>
      </c>
    </row>
    <row r="408" spans="3:16">
      <c r="C408" s="548">
        <f>IF(D355="","-",+C407+1)</f>
        <v>2061</v>
      </c>
      <c r="D408" s="506">
        <f t="shared" si="30"/>
        <v>0</v>
      </c>
      <c r="E408" s="549">
        <f t="shared" si="32"/>
        <v>0</v>
      </c>
      <c r="F408" s="549">
        <f t="shared" si="26"/>
        <v>0</v>
      </c>
      <c r="G408" s="506">
        <f t="shared" si="31"/>
        <v>0</v>
      </c>
      <c r="H408" s="554">
        <f>+J356*G408+E408</f>
        <v>0</v>
      </c>
      <c r="I408" s="555">
        <f>+J357*G408+E408</f>
        <v>0</v>
      </c>
      <c r="J408" s="552">
        <f t="shared" si="33"/>
        <v>0</v>
      </c>
      <c r="K408" s="552"/>
      <c r="L408" s="572"/>
      <c r="M408" s="552">
        <f t="shared" si="27"/>
        <v>0</v>
      </c>
      <c r="N408" s="572"/>
      <c r="O408" s="552">
        <f t="shared" si="28"/>
        <v>0</v>
      </c>
      <c r="P408" s="552">
        <f t="shared" si="29"/>
        <v>0</v>
      </c>
    </row>
    <row r="409" spans="3:16">
      <c r="C409" s="548">
        <f>IF(D355="","-",+C408+1)</f>
        <v>2062</v>
      </c>
      <c r="D409" s="506">
        <f t="shared" si="30"/>
        <v>0</v>
      </c>
      <c r="E409" s="549">
        <f t="shared" si="32"/>
        <v>0</v>
      </c>
      <c r="F409" s="549">
        <f t="shared" si="26"/>
        <v>0</v>
      </c>
      <c r="G409" s="506">
        <f t="shared" si="31"/>
        <v>0</v>
      </c>
      <c r="H409" s="554">
        <f>+J356*G409+E409</f>
        <v>0</v>
      </c>
      <c r="I409" s="555">
        <f>+J357*G409+E409</f>
        <v>0</v>
      </c>
      <c r="J409" s="552">
        <f t="shared" si="33"/>
        <v>0</v>
      </c>
      <c r="K409" s="552"/>
      <c r="L409" s="572"/>
      <c r="M409" s="552">
        <f t="shared" si="27"/>
        <v>0</v>
      </c>
      <c r="N409" s="572"/>
      <c r="O409" s="552">
        <f t="shared" si="28"/>
        <v>0</v>
      </c>
      <c r="P409" s="552">
        <f t="shared" si="29"/>
        <v>0</v>
      </c>
    </row>
    <row r="410" spans="3:16">
      <c r="C410" s="548">
        <f>IF(D355="","-",+C409+1)</f>
        <v>2063</v>
      </c>
      <c r="D410" s="506">
        <f t="shared" si="30"/>
        <v>0</v>
      </c>
      <c r="E410" s="549">
        <f t="shared" si="32"/>
        <v>0</v>
      </c>
      <c r="F410" s="549">
        <f t="shared" si="26"/>
        <v>0</v>
      </c>
      <c r="G410" s="506">
        <f t="shared" si="31"/>
        <v>0</v>
      </c>
      <c r="H410" s="554">
        <f>+J356*G410+E410</f>
        <v>0</v>
      </c>
      <c r="I410" s="555">
        <f>+J357*G410+E410</f>
        <v>0</v>
      </c>
      <c r="J410" s="552">
        <f t="shared" si="33"/>
        <v>0</v>
      </c>
      <c r="K410" s="552"/>
      <c r="L410" s="572"/>
      <c r="M410" s="552">
        <f t="shared" si="27"/>
        <v>0</v>
      </c>
      <c r="N410" s="572"/>
      <c r="O410" s="552">
        <f t="shared" si="28"/>
        <v>0</v>
      </c>
      <c r="P410" s="552">
        <f t="shared" si="29"/>
        <v>0</v>
      </c>
    </row>
    <row r="411" spans="3:16">
      <c r="C411" s="548">
        <f>IF(D355="","-",+C410+1)</f>
        <v>2064</v>
      </c>
      <c r="D411" s="506">
        <f t="shared" si="30"/>
        <v>0</v>
      </c>
      <c r="E411" s="549">
        <f t="shared" si="32"/>
        <v>0</v>
      </c>
      <c r="F411" s="549">
        <f t="shared" si="26"/>
        <v>0</v>
      </c>
      <c r="G411" s="506">
        <f t="shared" si="31"/>
        <v>0</v>
      </c>
      <c r="H411" s="554">
        <f>+J356*G411+E411</f>
        <v>0</v>
      </c>
      <c r="I411" s="555">
        <f>+J357*G411+E411</f>
        <v>0</v>
      </c>
      <c r="J411" s="552">
        <f t="shared" si="33"/>
        <v>0</v>
      </c>
      <c r="K411" s="552"/>
      <c r="L411" s="572"/>
      <c r="M411" s="552">
        <f t="shared" si="27"/>
        <v>0</v>
      </c>
      <c r="N411" s="572"/>
      <c r="O411" s="552">
        <f t="shared" si="28"/>
        <v>0</v>
      </c>
      <c r="P411" s="552">
        <f t="shared" si="29"/>
        <v>0</v>
      </c>
    </row>
    <row r="412" spans="3:16">
      <c r="C412" s="548">
        <f>IF(D355="","-",+C411+1)</f>
        <v>2065</v>
      </c>
      <c r="D412" s="506">
        <f t="shared" si="30"/>
        <v>0</v>
      </c>
      <c r="E412" s="549">
        <f t="shared" si="32"/>
        <v>0</v>
      </c>
      <c r="F412" s="549">
        <f t="shared" si="26"/>
        <v>0</v>
      </c>
      <c r="G412" s="506">
        <f t="shared" si="31"/>
        <v>0</v>
      </c>
      <c r="H412" s="554">
        <f>+J356*G412+E412</f>
        <v>0</v>
      </c>
      <c r="I412" s="555">
        <f>+J357*G412+E412</f>
        <v>0</v>
      </c>
      <c r="J412" s="552">
        <f t="shared" si="33"/>
        <v>0</v>
      </c>
      <c r="K412" s="552"/>
      <c r="L412" s="572"/>
      <c r="M412" s="552">
        <f t="shared" si="27"/>
        <v>0</v>
      </c>
      <c r="N412" s="572"/>
      <c r="O412" s="552">
        <f t="shared" si="28"/>
        <v>0</v>
      </c>
      <c r="P412" s="552">
        <f t="shared" si="29"/>
        <v>0</v>
      </c>
    </row>
    <row r="413" spans="3:16">
      <c r="C413" s="548">
        <f>IF(D355="","-",+C412+1)</f>
        <v>2066</v>
      </c>
      <c r="D413" s="506">
        <f t="shared" si="30"/>
        <v>0</v>
      </c>
      <c r="E413" s="549">
        <f t="shared" si="32"/>
        <v>0</v>
      </c>
      <c r="F413" s="549">
        <f t="shared" si="26"/>
        <v>0</v>
      </c>
      <c r="G413" s="506">
        <f t="shared" si="31"/>
        <v>0</v>
      </c>
      <c r="H413" s="554">
        <f>+J356*G413+E413</f>
        <v>0</v>
      </c>
      <c r="I413" s="555">
        <f>+J357*G413+E413</f>
        <v>0</v>
      </c>
      <c r="J413" s="552">
        <f t="shared" si="33"/>
        <v>0</v>
      </c>
      <c r="K413" s="552"/>
      <c r="L413" s="572"/>
      <c r="M413" s="552">
        <f t="shared" si="27"/>
        <v>0</v>
      </c>
      <c r="N413" s="572"/>
      <c r="O413" s="552">
        <f t="shared" si="28"/>
        <v>0</v>
      </c>
      <c r="P413" s="552">
        <f t="shared" si="29"/>
        <v>0</v>
      </c>
    </row>
    <row r="414" spans="3:16">
      <c r="C414" s="548">
        <f>IF(D355="","-",+C413+1)</f>
        <v>2067</v>
      </c>
      <c r="D414" s="506">
        <f t="shared" si="30"/>
        <v>0</v>
      </c>
      <c r="E414" s="549">
        <f t="shared" si="32"/>
        <v>0</v>
      </c>
      <c r="F414" s="549">
        <f t="shared" si="26"/>
        <v>0</v>
      </c>
      <c r="G414" s="506">
        <f t="shared" si="31"/>
        <v>0</v>
      </c>
      <c r="H414" s="554">
        <f>+J356*G414+E414</f>
        <v>0</v>
      </c>
      <c r="I414" s="555">
        <f>+J357*G414+E414</f>
        <v>0</v>
      </c>
      <c r="J414" s="552">
        <f t="shared" si="33"/>
        <v>0</v>
      </c>
      <c r="K414" s="552"/>
      <c r="L414" s="572"/>
      <c r="M414" s="552">
        <f t="shared" si="27"/>
        <v>0</v>
      </c>
      <c r="N414" s="572"/>
      <c r="O414" s="552">
        <f t="shared" si="28"/>
        <v>0</v>
      </c>
      <c r="P414" s="552">
        <f t="shared" si="29"/>
        <v>0</v>
      </c>
    </row>
    <row r="415" spans="3:16">
      <c r="C415" s="548">
        <f>IF(D355="","-",+C414+1)</f>
        <v>2068</v>
      </c>
      <c r="D415" s="506">
        <f t="shared" ref="D415:D420" si="34">F414</f>
        <v>0</v>
      </c>
      <c r="E415" s="549">
        <f t="shared" si="32"/>
        <v>0</v>
      </c>
      <c r="F415" s="549">
        <f t="shared" si="26"/>
        <v>0</v>
      </c>
      <c r="G415" s="506">
        <f t="shared" si="31"/>
        <v>0</v>
      </c>
      <c r="H415" s="554">
        <f>+J356*G415+E415</f>
        <v>0</v>
      </c>
      <c r="I415" s="555">
        <f>+J357*G415+E415</f>
        <v>0</v>
      </c>
      <c r="J415" s="552">
        <f t="shared" si="33"/>
        <v>0</v>
      </c>
      <c r="K415" s="552"/>
      <c r="L415" s="572"/>
      <c r="M415" s="552">
        <f t="shared" si="27"/>
        <v>0</v>
      </c>
      <c r="N415" s="572"/>
      <c r="O415" s="552">
        <f t="shared" si="28"/>
        <v>0</v>
      </c>
      <c r="P415" s="552">
        <f t="shared" si="29"/>
        <v>0</v>
      </c>
    </row>
    <row r="416" spans="3:16">
      <c r="C416" s="548">
        <f>IF(D355="","-",+C415+1)</f>
        <v>2069</v>
      </c>
      <c r="D416" s="506">
        <f t="shared" si="34"/>
        <v>0</v>
      </c>
      <c r="E416" s="549">
        <f t="shared" si="32"/>
        <v>0</v>
      </c>
      <c r="F416" s="549">
        <f t="shared" si="26"/>
        <v>0</v>
      </c>
      <c r="G416" s="506">
        <f t="shared" si="31"/>
        <v>0</v>
      </c>
      <c r="H416" s="554">
        <f>+J356*G416+E416</f>
        <v>0</v>
      </c>
      <c r="I416" s="555">
        <f>+J357*G416+E416</f>
        <v>0</v>
      </c>
      <c r="J416" s="552">
        <f t="shared" si="33"/>
        <v>0</v>
      </c>
      <c r="K416" s="552"/>
      <c r="L416" s="572"/>
      <c r="M416" s="552">
        <f t="shared" si="27"/>
        <v>0</v>
      </c>
      <c r="N416" s="572"/>
      <c r="O416" s="552">
        <f t="shared" si="28"/>
        <v>0</v>
      </c>
      <c r="P416" s="552">
        <f t="shared" si="29"/>
        <v>0</v>
      </c>
    </row>
    <row r="417" spans="1:17">
      <c r="C417" s="548">
        <f>IF(D355="","-",+C416+1)</f>
        <v>2070</v>
      </c>
      <c r="D417" s="506">
        <f t="shared" si="34"/>
        <v>0</v>
      </c>
      <c r="E417" s="549">
        <f t="shared" si="32"/>
        <v>0</v>
      </c>
      <c r="F417" s="549">
        <f t="shared" si="26"/>
        <v>0</v>
      </c>
      <c r="G417" s="506">
        <f t="shared" si="31"/>
        <v>0</v>
      </c>
      <c r="H417" s="554">
        <f>+J356*G417+E417</f>
        <v>0</v>
      </c>
      <c r="I417" s="555">
        <f>+J357*G417+E417</f>
        <v>0</v>
      </c>
      <c r="J417" s="552">
        <f t="shared" si="33"/>
        <v>0</v>
      </c>
      <c r="K417" s="552"/>
      <c r="L417" s="572"/>
      <c r="M417" s="552">
        <f t="shared" si="27"/>
        <v>0</v>
      </c>
      <c r="N417" s="572"/>
      <c r="O417" s="552">
        <f t="shared" si="28"/>
        <v>0</v>
      </c>
      <c r="P417" s="552">
        <f t="shared" si="29"/>
        <v>0</v>
      </c>
    </row>
    <row r="418" spans="1:17">
      <c r="C418" s="548">
        <f>IF(D355="","-",+C417+1)</f>
        <v>2071</v>
      </c>
      <c r="D418" s="506">
        <f t="shared" si="34"/>
        <v>0</v>
      </c>
      <c r="E418" s="549">
        <f t="shared" si="32"/>
        <v>0</v>
      </c>
      <c r="F418" s="549">
        <f t="shared" si="26"/>
        <v>0</v>
      </c>
      <c r="G418" s="506">
        <f t="shared" si="31"/>
        <v>0</v>
      </c>
      <c r="H418" s="554">
        <f>+J356*G418+E418</f>
        <v>0</v>
      </c>
      <c r="I418" s="555">
        <f>+J357*G418+E418</f>
        <v>0</v>
      </c>
      <c r="J418" s="552">
        <f t="shared" si="33"/>
        <v>0</v>
      </c>
      <c r="K418" s="552"/>
      <c r="L418" s="572"/>
      <c r="M418" s="552">
        <f t="shared" si="27"/>
        <v>0</v>
      </c>
      <c r="N418" s="572"/>
      <c r="O418" s="552">
        <f t="shared" si="28"/>
        <v>0</v>
      </c>
      <c r="P418" s="552">
        <f t="shared" si="29"/>
        <v>0</v>
      </c>
    </row>
    <row r="419" spans="1:17">
      <c r="C419" s="548">
        <f>IF(D355="","-",+C418+1)</f>
        <v>2072</v>
      </c>
      <c r="D419" s="506">
        <f t="shared" si="34"/>
        <v>0</v>
      </c>
      <c r="E419" s="549">
        <f t="shared" si="32"/>
        <v>0</v>
      </c>
      <c r="F419" s="549">
        <f t="shared" si="26"/>
        <v>0</v>
      </c>
      <c r="G419" s="506">
        <f t="shared" si="31"/>
        <v>0</v>
      </c>
      <c r="H419" s="554">
        <f>+J356*G419+E419</f>
        <v>0</v>
      </c>
      <c r="I419" s="555">
        <f>+J357*G419+E419</f>
        <v>0</v>
      </c>
      <c r="J419" s="552">
        <f t="shared" si="33"/>
        <v>0</v>
      </c>
      <c r="K419" s="552"/>
      <c r="L419" s="572"/>
      <c r="M419" s="552">
        <f t="shared" si="27"/>
        <v>0</v>
      </c>
      <c r="N419" s="572"/>
      <c r="O419" s="552">
        <f t="shared" si="28"/>
        <v>0</v>
      </c>
      <c r="P419" s="552">
        <f t="shared" si="29"/>
        <v>0</v>
      </c>
    </row>
    <row r="420" spans="1:17" ht="13.5" thickBot="1">
      <c r="C420" s="558">
        <f>IF(D355="","-",+C419+1)</f>
        <v>2073</v>
      </c>
      <c r="D420" s="559">
        <f t="shared" si="34"/>
        <v>0</v>
      </c>
      <c r="E420" s="560">
        <f t="shared" si="32"/>
        <v>0</v>
      </c>
      <c r="F420" s="560">
        <f t="shared" si="26"/>
        <v>0</v>
      </c>
      <c r="G420" s="559">
        <f t="shared" si="31"/>
        <v>0</v>
      </c>
      <c r="H420" s="561">
        <f>+J356*G420+E420</f>
        <v>0</v>
      </c>
      <c r="I420" s="561">
        <f>+J357*G420+E420</f>
        <v>0</v>
      </c>
      <c r="J420" s="562">
        <f t="shared" si="33"/>
        <v>0</v>
      </c>
      <c r="K420" s="552"/>
      <c r="L420" s="573"/>
      <c r="M420" s="562">
        <f t="shared" si="27"/>
        <v>0</v>
      </c>
      <c r="N420" s="573"/>
      <c r="O420" s="562">
        <f t="shared" si="28"/>
        <v>0</v>
      </c>
      <c r="P420" s="562">
        <f t="shared" si="29"/>
        <v>0</v>
      </c>
    </row>
    <row r="421" spans="1:17">
      <c r="C421" s="506" t="s">
        <v>91</v>
      </c>
      <c r="D421" s="503"/>
      <c r="E421" s="503">
        <f>SUM(E361:E420)</f>
        <v>60573765.779999994</v>
      </c>
      <c r="F421" s="503"/>
      <c r="G421" s="503"/>
      <c r="H421" s="503">
        <f>SUM(H361:H420)</f>
        <v>186435005.07094735</v>
      </c>
      <c r="I421" s="503">
        <f>SUM(I361:I420)</f>
        <v>186435005.07094735</v>
      </c>
      <c r="J421" s="503">
        <f>SUM(J361:J420)</f>
        <v>0</v>
      </c>
      <c r="K421" s="503"/>
      <c r="L421" s="503"/>
      <c r="M421" s="503"/>
      <c r="N421" s="503"/>
      <c r="O421" s="503"/>
    </row>
    <row r="422" spans="1:17">
      <c r="D422" s="47"/>
      <c r="E422" s="3"/>
      <c r="F422" s="3"/>
      <c r="G422" s="3"/>
      <c r="H422" s="3"/>
      <c r="I422" s="490"/>
      <c r="J422" s="490"/>
      <c r="K422" s="503"/>
      <c r="L422" s="490"/>
      <c r="M422" s="490"/>
      <c r="N422" s="490"/>
      <c r="O422" s="490"/>
    </row>
    <row r="423" spans="1:17">
      <c r="C423" s="3" t="s">
        <v>13</v>
      </c>
      <c r="D423" s="47"/>
      <c r="E423" s="3"/>
      <c r="F423" s="3"/>
      <c r="G423" s="3"/>
      <c r="H423" s="3"/>
      <c r="I423" s="490"/>
      <c r="J423" s="490"/>
      <c r="K423" s="503"/>
      <c r="L423" s="490"/>
      <c r="M423" s="490"/>
      <c r="N423" s="490"/>
      <c r="O423" s="490"/>
    </row>
    <row r="424" spans="1:17">
      <c r="C424" s="3"/>
      <c r="D424" s="47"/>
      <c r="E424" s="3"/>
      <c r="F424" s="3"/>
      <c r="G424" s="3"/>
      <c r="H424" s="3"/>
      <c r="I424" s="490"/>
      <c r="J424" s="490"/>
      <c r="K424" s="503"/>
      <c r="L424" s="490"/>
      <c r="M424" s="490"/>
      <c r="N424" s="490"/>
      <c r="O424" s="490"/>
    </row>
    <row r="425" spans="1:17">
      <c r="C425" s="518" t="s">
        <v>14</v>
      </c>
      <c r="D425" s="506"/>
      <c r="E425" s="506"/>
      <c r="F425" s="506"/>
      <c r="G425" s="506"/>
      <c r="H425" s="503"/>
      <c r="I425" s="503"/>
      <c r="J425" s="564"/>
      <c r="K425" s="564"/>
      <c r="L425" s="564"/>
      <c r="M425" s="564"/>
      <c r="N425" s="564"/>
      <c r="O425" s="564"/>
    </row>
    <row r="426" spans="1:17">
      <c r="C426" s="507" t="s">
        <v>271</v>
      </c>
      <c r="D426" s="506"/>
      <c r="E426" s="506"/>
      <c r="F426" s="506"/>
      <c r="G426" s="506"/>
      <c r="H426" s="503"/>
      <c r="I426" s="503"/>
      <c r="J426" s="564"/>
      <c r="K426" s="564"/>
      <c r="L426" s="564"/>
      <c r="M426" s="564"/>
      <c r="N426" s="564"/>
      <c r="O426" s="564"/>
    </row>
    <row r="427" spans="1:17">
      <c r="C427" s="507" t="s">
        <v>92</v>
      </c>
      <c r="D427" s="506"/>
      <c r="E427" s="506"/>
      <c r="F427" s="506"/>
      <c r="G427" s="506"/>
      <c r="H427" s="503"/>
      <c r="I427" s="503"/>
      <c r="J427" s="564"/>
      <c r="K427" s="564"/>
      <c r="L427" s="564"/>
      <c r="M427" s="564"/>
      <c r="N427" s="564"/>
      <c r="O427" s="564"/>
    </row>
    <row r="428" spans="1:17">
      <c r="C428" s="507"/>
      <c r="D428" s="506"/>
      <c r="E428" s="506"/>
      <c r="F428" s="506"/>
      <c r="G428" s="506"/>
      <c r="H428" s="503"/>
      <c r="I428" s="503"/>
      <c r="J428" s="564"/>
      <c r="K428" s="564"/>
      <c r="L428" s="564"/>
      <c r="M428" s="564"/>
      <c r="N428" s="564"/>
      <c r="O428" s="564"/>
    </row>
    <row r="429" spans="1:17" ht="20.25">
      <c r="A429" s="447" t="str">
        <f>""&amp;A351&amp;" Worksheet K -  ATRR TRUE-UP Calculation for PJM Projects Charged to Benefiting Zones"</f>
        <v xml:space="preserve"> Worksheet K -  ATRR TRUE-UP Calculation for PJM Projects Charged to Benefiting Zones</v>
      </c>
      <c r="B429" s="3"/>
      <c r="C429" s="3"/>
      <c r="D429" s="47"/>
      <c r="E429" s="3"/>
      <c r="F429" s="489"/>
      <c r="G429" s="489"/>
      <c r="H429" s="3"/>
      <c r="I429" s="490"/>
      <c r="L429" s="398"/>
      <c r="M429" s="398"/>
      <c r="N429" s="398"/>
      <c r="O429" s="398" t="str">
        <f>"Page "&amp;SUM(Q$8:Q429)&amp;" of "</f>
        <v xml:space="preserve">Page 5 of </v>
      </c>
      <c r="P429" s="448">
        <f>COUNT(Q$8:Q$56657)</f>
        <v>10</v>
      </c>
      <c r="Q429">
        <v>1</v>
      </c>
    </row>
    <row r="430" spans="1:17">
      <c r="B430" s="3"/>
      <c r="C430" s="3"/>
      <c r="D430" s="47"/>
      <c r="E430" s="3"/>
      <c r="F430" s="3"/>
      <c r="G430" s="3"/>
      <c r="H430" s="3"/>
      <c r="I430" s="490"/>
      <c r="J430" s="3"/>
      <c r="K430" s="3"/>
    </row>
    <row r="431" spans="1:17" ht="18">
      <c r="B431" s="449" t="s">
        <v>472</v>
      </c>
      <c r="C431" s="122" t="s">
        <v>93</v>
      </c>
      <c r="D431" s="47"/>
      <c r="E431" s="3"/>
      <c r="F431" s="3"/>
      <c r="G431" s="3"/>
      <c r="H431" s="3"/>
      <c r="I431" s="490"/>
      <c r="J431" s="490"/>
      <c r="K431" s="503"/>
      <c r="L431" s="490"/>
      <c r="M431" s="490"/>
      <c r="N431" s="490"/>
      <c r="O431" s="490"/>
    </row>
    <row r="432" spans="1:17" ht="18.75">
      <c r="B432" s="449"/>
      <c r="C432" s="6"/>
      <c r="D432" s="47"/>
      <c r="E432" s="3"/>
      <c r="F432" s="3"/>
      <c r="G432" s="3"/>
      <c r="H432" s="3"/>
      <c r="I432" s="490"/>
      <c r="J432" s="490"/>
      <c r="K432" s="503"/>
      <c r="L432" s="490"/>
      <c r="M432" s="490"/>
      <c r="N432" s="490"/>
      <c r="O432" s="490"/>
    </row>
    <row r="433" spans="1:16" ht="18.75">
      <c r="B433" s="449"/>
      <c r="C433" s="6" t="s">
        <v>94</v>
      </c>
      <c r="D433" s="47"/>
      <c r="E433" s="3"/>
      <c r="F433" s="3"/>
      <c r="G433" s="3"/>
      <c r="H433" s="3"/>
      <c r="I433" s="490"/>
      <c r="J433" s="490"/>
      <c r="K433" s="503"/>
      <c r="L433" s="490"/>
      <c r="M433" s="490"/>
      <c r="N433" s="490"/>
      <c r="O433" s="490"/>
    </row>
    <row r="434" spans="1:16" ht="15.75" thickBot="1">
      <c r="C434" s="132"/>
      <c r="D434" s="47"/>
      <c r="E434" s="3"/>
      <c r="F434" s="3"/>
      <c r="G434" s="3"/>
      <c r="H434" s="3"/>
      <c r="I434" s="490"/>
      <c r="J434" s="490"/>
      <c r="K434" s="503"/>
      <c r="L434" s="490"/>
      <c r="M434" s="490"/>
      <c r="N434" s="490"/>
      <c r="O434" s="490"/>
    </row>
    <row r="435" spans="1:16" ht="15.75">
      <c r="C435" s="451" t="s">
        <v>95</v>
      </c>
      <c r="D435" s="47"/>
      <c r="E435" s="3"/>
      <c r="F435" s="3"/>
      <c r="G435" s="3"/>
      <c r="H435" s="566"/>
      <c r="I435" s="3" t="s">
        <v>74</v>
      </c>
      <c r="J435" s="3"/>
      <c r="K435" s="3"/>
      <c r="L435" s="593">
        <f>+J441</f>
        <v>2025</v>
      </c>
      <c r="M435" s="576" t="s">
        <v>52</v>
      </c>
      <c r="N435" s="576" t="s">
        <v>53</v>
      </c>
      <c r="O435" s="577" t="s">
        <v>55</v>
      </c>
    </row>
    <row r="436" spans="1:16" ht="15.75">
      <c r="C436" s="451"/>
      <c r="D436" s="47"/>
      <c r="E436" s="3"/>
      <c r="F436" s="3"/>
      <c r="H436" s="3"/>
      <c r="I436" s="513"/>
      <c r="J436" s="513"/>
      <c r="K436" s="514"/>
      <c r="L436" s="594" t="s">
        <v>243</v>
      </c>
      <c r="M436" s="595">
        <f>VLOOKUP(J441,C448:P507,10)</f>
        <v>11298340.817354895</v>
      </c>
      <c r="N436" s="595">
        <f>VLOOKUP(J441,C448:P507,12)</f>
        <v>11298340.817354895</v>
      </c>
      <c r="O436" s="596">
        <f>+N436-M436</f>
        <v>0</v>
      </c>
    </row>
    <row r="437" spans="1:16" ht="12.95" customHeight="1">
      <c r="C437" s="518" t="s">
        <v>96</v>
      </c>
      <c r="D437" s="1210" t="s">
        <v>819</v>
      </c>
      <c r="E437" s="1210"/>
      <c r="F437" s="1210"/>
      <c r="G437" s="1210"/>
      <c r="H437" s="1210"/>
      <c r="I437" s="1210"/>
      <c r="J437" s="490"/>
      <c r="K437" s="503"/>
      <c r="L437" s="594" t="s">
        <v>244</v>
      </c>
      <c r="M437" s="597">
        <f>VLOOKUP(J441,C448:P507,6)</f>
        <v>10956490.098710682</v>
      </c>
      <c r="N437" s="597">
        <f>VLOOKUP(J441,C448:P507,7)</f>
        <v>10956490.098710682</v>
      </c>
      <c r="O437" s="598">
        <f>+N437-M437</f>
        <v>0</v>
      </c>
    </row>
    <row r="438" spans="1:16" ht="13.5" thickBot="1">
      <c r="C438" s="522"/>
      <c r="D438" s="1210"/>
      <c r="E438" s="1210"/>
      <c r="F438" s="1210"/>
      <c r="G438" s="1210"/>
      <c r="H438" s="1210"/>
      <c r="I438" s="1210"/>
      <c r="J438" s="490"/>
      <c r="K438" s="503"/>
      <c r="L438" s="533" t="s">
        <v>245</v>
      </c>
      <c r="M438" s="599">
        <f>+M437-M436</f>
        <v>-341850.71864421293</v>
      </c>
      <c r="N438" s="599">
        <f>+N437-N436</f>
        <v>-341850.71864421293</v>
      </c>
      <c r="O438" s="600">
        <f>+O437-O436</f>
        <v>0</v>
      </c>
    </row>
    <row r="439" spans="1:16" ht="13.5" thickBot="1">
      <c r="C439" s="522"/>
      <c r="D439" s="3"/>
      <c r="E439" s="524"/>
      <c r="F439" s="524"/>
      <c r="G439" s="524"/>
      <c r="H439" s="524"/>
      <c r="I439" s="524"/>
      <c r="J439" s="524"/>
      <c r="K439" s="524"/>
      <c r="L439" s="524"/>
      <c r="M439" s="524"/>
      <c r="N439" s="524"/>
      <c r="O439" s="524"/>
    </row>
    <row r="440" spans="1:16" ht="13.5" thickBot="1">
      <c r="C440" s="525" t="s">
        <v>97</v>
      </c>
      <c r="D440" s="526"/>
      <c r="E440" s="526"/>
      <c r="F440" s="526"/>
      <c r="G440" s="526"/>
      <c r="H440" s="526"/>
      <c r="I440" s="526"/>
      <c r="J440" s="526"/>
    </row>
    <row r="441" spans="1:16" ht="15">
      <c r="A441" s="978"/>
      <c r="C441" s="528" t="s">
        <v>75</v>
      </c>
      <c r="D441" s="568">
        <v>99133366.299999997</v>
      </c>
      <c r="E441" s="3" t="s">
        <v>76</v>
      </c>
      <c r="H441" s="47"/>
      <c r="I441" s="47"/>
      <c r="J441" s="529">
        <f>$J$93</f>
        <v>2025</v>
      </c>
      <c r="K441" s="70"/>
      <c r="L441" s="1211" t="s">
        <v>77</v>
      </c>
      <c r="M441" s="1211"/>
      <c r="N441" s="1211"/>
      <c r="O441" s="1211"/>
    </row>
    <row r="442" spans="1:16">
      <c r="C442" s="528" t="s">
        <v>78</v>
      </c>
      <c r="D442" s="569">
        <v>2016</v>
      </c>
      <c r="E442" s="528" t="s">
        <v>79</v>
      </c>
      <c r="F442" s="47"/>
      <c r="G442" s="47"/>
      <c r="I442"/>
      <c r="J442" s="570">
        <f>IF(H435="",0,$F$17)</f>
        <v>0</v>
      </c>
      <c r="K442" s="530"/>
      <c r="L442" s="503" t="s">
        <v>285</v>
      </c>
    </row>
    <row r="443" spans="1:16">
      <c r="C443" s="528" t="s">
        <v>80</v>
      </c>
      <c r="D443" s="568">
        <v>6</v>
      </c>
      <c r="E443" s="528" t="s">
        <v>81</v>
      </c>
      <c r="F443" s="47"/>
      <c r="G443" s="47"/>
      <c r="I443"/>
      <c r="J443" s="531">
        <f>$F$70</f>
        <v>0.11032660055737779</v>
      </c>
      <c r="K443" s="489"/>
      <c r="L443" s="3" t="str">
        <f>"          INPUT TRUE-UP ARR (WITH &amp; WITHOUT INCENTIVES) FROM EACH PRIOR YEAR"</f>
        <v xml:space="preserve">          INPUT TRUE-UP ARR (WITH &amp; WITHOUT INCENTIVES) FROM EACH PRIOR YEAR</v>
      </c>
    </row>
    <row r="444" spans="1:16">
      <c r="C444" s="528" t="s">
        <v>82</v>
      </c>
      <c r="D444" s="532">
        <f>H$79</f>
        <v>36</v>
      </c>
      <c r="E444" s="528" t="s">
        <v>83</v>
      </c>
      <c r="F444" s="47"/>
      <c r="G444" s="47"/>
      <c r="I444"/>
      <c r="J444" s="531">
        <f>IF(H435="",+J443,$F$69)</f>
        <v>0.11032660055737779</v>
      </c>
      <c r="K444" s="489"/>
      <c r="L444" s="3" t="s">
        <v>165</v>
      </c>
      <c r="M444" s="489"/>
      <c r="N444" s="489"/>
      <c r="O444" s="489"/>
    </row>
    <row r="445" spans="1:16" ht="13.5" thickBot="1">
      <c r="C445" s="528" t="s">
        <v>84</v>
      </c>
      <c r="D445" s="969" t="s">
        <v>812</v>
      </c>
      <c r="E445" s="533" t="s">
        <v>85</v>
      </c>
      <c r="F445" s="534"/>
      <c r="G445" s="534"/>
      <c r="H445" s="535"/>
      <c r="I445" s="535"/>
      <c r="J445" s="521">
        <f>IF(D441=0,0,D441/D444)</f>
        <v>2753704.6194444443</v>
      </c>
      <c r="K445" s="503"/>
      <c r="L445" s="503" t="s">
        <v>166</v>
      </c>
      <c r="M445" s="503"/>
      <c r="N445" s="503"/>
      <c r="O445" s="503"/>
    </row>
    <row r="446" spans="1:16" ht="38.25">
      <c r="B446" s="450"/>
      <c r="C446" s="536" t="s">
        <v>75</v>
      </c>
      <c r="D446" s="537" t="s">
        <v>86</v>
      </c>
      <c r="E446" s="538" t="s">
        <v>87</v>
      </c>
      <c r="F446" s="537" t="s">
        <v>88</v>
      </c>
      <c r="G446" s="537" t="s">
        <v>246</v>
      </c>
      <c r="H446" s="538" t="s">
        <v>159</v>
      </c>
      <c r="I446" s="539" t="s">
        <v>159</v>
      </c>
      <c r="J446" s="536" t="s">
        <v>98</v>
      </c>
      <c r="K446" s="540"/>
      <c r="L446" s="538" t="s">
        <v>161</v>
      </c>
      <c r="M446" s="538" t="s">
        <v>167</v>
      </c>
      <c r="N446" s="538" t="s">
        <v>161</v>
      </c>
      <c r="O446" s="538" t="s">
        <v>169</v>
      </c>
      <c r="P446" s="538" t="s">
        <v>89</v>
      </c>
    </row>
    <row r="447" spans="1:16" ht="13.5" thickBot="1">
      <c r="C447" s="542" t="s">
        <v>475</v>
      </c>
      <c r="D447" s="543" t="s">
        <v>476</v>
      </c>
      <c r="E447" s="542" t="s">
        <v>369</v>
      </c>
      <c r="F447" s="543" t="s">
        <v>476</v>
      </c>
      <c r="G447" s="543" t="s">
        <v>476</v>
      </c>
      <c r="H447" s="544" t="s">
        <v>101</v>
      </c>
      <c r="I447" s="545" t="s">
        <v>103</v>
      </c>
      <c r="J447" s="542" t="s">
        <v>15</v>
      </c>
      <c r="K447" s="546"/>
      <c r="L447" s="544" t="s">
        <v>90</v>
      </c>
      <c r="M447" s="544" t="s">
        <v>90</v>
      </c>
      <c r="N447" s="544" t="s">
        <v>263</v>
      </c>
      <c r="O447" s="544" t="s">
        <v>263</v>
      </c>
      <c r="P447" s="544" t="s">
        <v>263</v>
      </c>
    </row>
    <row r="448" spans="1:16">
      <c r="C448" s="548">
        <f>IF(D442= "","-",D442)</f>
        <v>2016</v>
      </c>
      <c r="D448" s="506">
        <f>+D441</f>
        <v>99133366.299999997</v>
      </c>
      <c r="E448" s="554">
        <f>+J445/12*(12-D443)</f>
        <v>1376852.3097222222</v>
      </c>
      <c r="F448" s="601">
        <f t="shared" ref="F448:F507" si="35">+D448-E448</f>
        <v>97756513.990277782</v>
      </c>
      <c r="G448" s="506">
        <f>+(D448+F448)/2</f>
        <v>98444940.14513889</v>
      </c>
      <c r="H448" s="550">
        <f>+J443*G448+E448</f>
        <v>12237947.898009926</v>
      </c>
      <c r="I448" s="551">
        <f>+J444*G448+E448</f>
        <v>12237947.898009926</v>
      </c>
      <c r="J448" s="552">
        <f>+I448-H448</f>
        <v>0</v>
      </c>
      <c r="K448" s="552"/>
      <c r="L448" s="571">
        <v>8211582</v>
      </c>
      <c r="M448" s="602">
        <f t="shared" ref="M448:M507" si="36">IF(L448&lt;&gt;0,+H448-L448,0)</f>
        <v>4026365.8980099261</v>
      </c>
      <c r="N448" s="571">
        <v>8211582</v>
      </c>
      <c r="O448" s="602">
        <f t="shared" ref="O448:O507" si="37">IF(N448&lt;&gt;0,+I448-N448,0)</f>
        <v>4026365.8980099261</v>
      </c>
      <c r="P448" s="602">
        <f t="shared" ref="P448:P507" si="38">+O448-M448</f>
        <v>0</v>
      </c>
    </row>
    <row r="449" spans="3:16">
      <c r="C449" s="548">
        <f>IF(D442="","-",+C448+1)</f>
        <v>2017</v>
      </c>
      <c r="D449" s="506">
        <f t="shared" ref="D449:D501" si="39">F448</f>
        <v>97756513.990277782</v>
      </c>
      <c r="E449" s="549">
        <f>IF(D449&gt;$J$445,$J$445,D449)</f>
        <v>2753704.6194444443</v>
      </c>
      <c r="F449" s="549">
        <f t="shared" si="35"/>
        <v>95002809.370833337</v>
      </c>
      <c r="G449" s="506">
        <f t="shared" ref="G449:G507" si="40">+(D449+F449)/2</f>
        <v>96379661.680555552</v>
      </c>
      <c r="H449" s="554">
        <f>+J443*G449+E449</f>
        <v>13386945.055530308</v>
      </c>
      <c r="I449" s="555">
        <f>+J444*G449+E449</f>
        <v>13386945.055530308</v>
      </c>
      <c r="J449" s="552">
        <f>+I449-H449</f>
        <v>0</v>
      </c>
      <c r="K449" s="552"/>
      <c r="L449" s="572">
        <v>9400319</v>
      </c>
      <c r="M449" s="552">
        <f t="shared" si="36"/>
        <v>3986626.0555303078</v>
      </c>
      <c r="N449" s="572">
        <v>9400319</v>
      </c>
      <c r="O449" s="552">
        <f t="shared" si="37"/>
        <v>3986626.0555303078</v>
      </c>
      <c r="P449" s="552">
        <f t="shared" si="38"/>
        <v>0</v>
      </c>
    </row>
    <row r="450" spans="3:16">
      <c r="C450" s="548">
        <f>IF(D442="","-",+C449+1)</f>
        <v>2018</v>
      </c>
      <c r="D450" s="506">
        <f t="shared" si="39"/>
        <v>95002809.370833337</v>
      </c>
      <c r="E450" s="549">
        <f t="shared" ref="E450:E507" si="41">IF(D450&gt;$J$445,$J$445,D450)</f>
        <v>2753704.6194444443</v>
      </c>
      <c r="F450" s="549">
        <f t="shared" si="35"/>
        <v>92249104.751388893</v>
      </c>
      <c r="G450" s="506">
        <f t="shared" si="40"/>
        <v>93625957.061111122</v>
      </c>
      <c r="H450" s="554">
        <f>+J443*G450+E450</f>
        <v>13083138.185927857</v>
      </c>
      <c r="I450" s="555">
        <f>+J444*G450+E450</f>
        <v>13083138.185927857</v>
      </c>
      <c r="J450" s="552">
        <f t="shared" ref="J450:J507" si="42">+I450-H450</f>
        <v>0</v>
      </c>
      <c r="K450" s="552"/>
      <c r="L450" s="572">
        <v>11231831</v>
      </c>
      <c r="M450" s="552">
        <f t="shared" si="36"/>
        <v>1851307.1859278567</v>
      </c>
      <c r="N450" s="572">
        <v>11231831</v>
      </c>
      <c r="O450" s="552">
        <f t="shared" si="37"/>
        <v>1851307.1859278567</v>
      </c>
      <c r="P450" s="552">
        <f t="shared" si="38"/>
        <v>0</v>
      </c>
    </row>
    <row r="451" spans="3:16">
      <c r="C451" s="548">
        <f>IF(D442="","-",+C450+1)</f>
        <v>2019</v>
      </c>
      <c r="D451" s="506">
        <f t="shared" si="39"/>
        <v>92249104.751388893</v>
      </c>
      <c r="E451" s="549">
        <f t="shared" si="41"/>
        <v>2753704.6194444443</v>
      </c>
      <c r="F451" s="549">
        <f t="shared" si="35"/>
        <v>89495400.131944448</v>
      </c>
      <c r="G451" s="506">
        <f t="shared" si="40"/>
        <v>90872252.441666663</v>
      </c>
      <c r="H451" s="554">
        <f>+J443*G451+E451</f>
        <v>12779331.316325402</v>
      </c>
      <c r="I451" s="555">
        <f>+J444*G451+E451</f>
        <v>12779331.316325402</v>
      </c>
      <c r="J451" s="552">
        <f t="shared" si="42"/>
        <v>0</v>
      </c>
      <c r="K451" s="552"/>
      <c r="L451" s="572">
        <v>11864825</v>
      </c>
      <c r="M451" s="552">
        <f t="shared" si="36"/>
        <v>914506.31632540189</v>
      </c>
      <c r="N451" s="572">
        <v>11864825</v>
      </c>
      <c r="O451" s="552">
        <f t="shared" si="37"/>
        <v>914506.31632540189</v>
      </c>
      <c r="P451" s="552">
        <f t="shared" si="38"/>
        <v>0</v>
      </c>
    </row>
    <row r="452" spans="3:16">
      <c r="C452" s="548">
        <f>IF(D442="","-",+C451+1)</f>
        <v>2020</v>
      </c>
      <c r="D452" s="970">
        <f t="shared" si="39"/>
        <v>89495400.131944448</v>
      </c>
      <c r="E452" s="549">
        <f t="shared" si="41"/>
        <v>2753704.6194444443</v>
      </c>
      <c r="F452" s="549">
        <f t="shared" si="35"/>
        <v>86741695.512500003</v>
      </c>
      <c r="G452" s="506">
        <f t="shared" si="40"/>
        <v>88118547.822222233</v>
      </c>
      <c r="H452" s="554">
        <f>+J443*G452+E452</f>
        <v>12475524.446722951</v>
      </c>
      <c r="I452" s="555">
        <f>+J444*G452+E452</f>
        <v>12475524.446722951</v>
      </c>
      <c r="J452" s="552">
        <f t="shared" si="42"/>
        <v>0</v>
      </c>
      <c r="K452" s="552"/>
      <c r="L452" s="572">
        <v>12033066.013124375</v>
      </c>
      <c r="M452" s="552">
        <f t="shared" si="36"/>
        <v>442458.43359857611</v>
      </c>
      <c r="N452" s="572">
        <v>12033066.013124375</v>
      </c>
      <c r="O452" s="552">
        <f t="shared" si="37"/>
        <v>442458.43359857611</v>
      </c>
      <c r="P452" s="552">
        <f t="shared" si="38"/>
        <v>0</v>
      </c>
    </row>
    <row r="453" spans="3:16">
      <c r="C453" s="548">
        <f>IF(D442="","-",+C452+1)</f>
        <v>2021</v>
      </c>
      <c r="D453" s="970">
        <f t="shared" si="39"/>
        <v>86741695.512500003</v>
      </c>
      <c r="E453" s="549">
        <f t="shared" si="41"/>
        <v>2753704.6194444443</v>
      </c>
      <c r="F453" s="549">
        <f t="shared" si="35"/>
        <v>83987990.893055558</v>
      </c>
      <c r="G453" s="506">
        <f t="shared" si="40"/>
        <v>85364843.202777773</v>
      </c>
      <c r="H453" s="554">
        <f>+J443*G453+E453</f>
        <v>12171717.577120494</v>
      </c>
      <c r="I453" s="555">
        <f>+J444*G453+E453</f>
        <v>12171717.577120494</v>
      </c>
      <c r="J453" s="552">
        <f t="shared" si="42"/>
        <v>0</v>
      </c>
      <c r="K453" s="552"/>
      <c r="L453" s="572">
        <v>11936440.649508858</v>
      </c>
      <c r="M453" s="552">
        <f t="shared" si="36"/>
        <v>235276.927611636</v>
      </c>
      <c r="N453" s="572">
        <v>11936440.649508858</v>
      </c>
      <c r="O453" s="552">
        <f t="shared" si="37"/>
        <v>235276.927611636</v>
      </c>
      <c r="P453" s="552">
        <f t="shared" si="38"/>
        <v>0</v>
      </c>
    </row>
    <row r="454" spans="3:16">
      <c r="C454" s="548">
        <f>IF(D442="","-",+C453+1)</f>
        <v>2022</v>
      </c>
      <c r="D454" s="970">
        <f t="shared" si="39"/>
        <v>83987990.893055558</v>
      </c>
      <c r="E454" s="549">
        <f t="shared" si="41"/>
        <v>2753704.6194444443</v>
      </c>
      <c r="F454" s="549">
        <f t="shared" si="35"/>
        <v>81234286.273611113</v>
      </c>
      <c r="G454" s="506">
        <f t="shared" si="40"/>
        <v>82611138.583333343</v>
      </c>
      <c r="H454" s="554">
        <f>+J443*G454+E454</f>
        <v>11867910.707518043</v>
      </c>
      <c r="I454" s="555">
        <f>+J444*G454+E454</f>
        <v>11867910.707518043</v>
      </c>
      <c r="J454" s="552">
        <f t="shared" si="42"/>
        <v>0</v>
      </c>
      <c r="K454" s="552"/>
      <c r="L454" s="572">
        <v>12166987.339047994</v>
      </c>
      <c r="M454" s="552">
        <f t="shared" si="36"/>
        <v>-299076.63152995147</v>
      </c>
      <c r="N454" s="572">
        <v>12166987.339047994</v>
      </c>
      <c r="O454" s="552">
        <f t="shared" si="37"/>
        <v>-299076.63152995147</v>
      </c>
      <c r="P454" s="552">
        <f t="shared" si="38"/>
        <v>0</v>
      </c>
    </row>
    <row r="455" spans="3:16">
      <c r="C455" s="548">
        <f>IF(D442="","-",+C454+1)</f>
        <v>2023</v>
      </c>
      <c r="D455" s="506">
        <f t="shared" si="39"/>
        <v>81234286.273611113</v>
      </c>
      <c r="E455" s="549">
        <f t="shared" si="41"/>
        <v>2753704.6194444443</v>
      </c>
      <c r="F455" s="549">
        <f t="shared" si="35"/>
        <v>78480581.654166669</v>
      </c>
      <c r="G455" s="506">
        <f t="shared" si="40"/>
        <v>79857433.963888884</v>
      </c>
      <c r="H455" s="554">
        <f>+J443*G455+E455</f>
        <v>11564103.837915588</v>
      </c>
      <c r="I455" s="555">
        <f>+J444*G455+E455</f>
        <v>11564103.837915588</v>
      </c>
      <c r="J455" s="552">
        <f t="shared" si="42"/>
        <v>0</v>
      </c>
      <c r="K455" s="552"/>
      <c r="L455" s="572">
        <v>11855170.900451977</v>
      </c>
      <c r="M455" s="552">
        <f t="shared" si="36"/>
        <v>-291067.06253638864</v>
      </c>
      <c r="N455" s="572">
        <v>11855170.900451977</v>
      </c>
      <c r="O455" s="552">
        <f t="shared" si="37"/>
        <v>-291067.06253638864</v>
      </c>
      <c r="P455" s="552">
        <f t="shared" si="38"/>
        <v>0</v>
      </c>
    </row>
    <row r="456" spans="3:16">
      <c r="C456" s="548">
        <f>IF(D442="","-",+C455+1)</f>
        <v>2024</v>
      </c>
      <c r="D456" s="506">
        <f t="shared" si="39"/>
        <v>78480581.654166669</v>
      </c>
      <c r="E456" s="549">
        <f t="shared" si="41"/>
        <v>2753704.6194444443</v>
      </c>
      <c r="F456" s="549">
        <f t="shared" si="35"/>
        <v>75726877.034722224</v>
      </c>
      <c r="G456" s="506">
        <f t="shared" si="40"/>
        <v>77103729.344444454</v>
      </c>
      <c r="H456" s="554">
        <f>+J443*G456+E456</f>
        <v>11260296.968313137</v>
      </c>
      <c r="I456" s="555">
        <f>+J444*G456+E456</f>
        <v>11260296.968313137</v>
      </c>
      <c r="J456" s="552">
        <f t="shared" si="42"/>
        <v>0</v>
      </c>
      <c r="K456" s="552"/>
      <c r="L456" s="572">
        <v>11497036.76439972</v>
      </c>
      <c r="M456" s="552">
        <f t="shared" si="36"/>
        <v>-236739.79608658329</v>
      </c>
      <c r="N456" s="572">
        <v>11497036.76439972</v>
      </c>
      <c r="O456" s="552">
        <f t="shared" si="37"/>
        <v>-236739.79608658329</v>
      </c>
      <c r="P456" s="552">
        <f t="shared" si="38"/>
        <v>0</v>
      </c>
    </row>
    <row r="457" spans="3:16">
      <c r="C457" s="548">
        <f>IF(D442="","-",+C456+1)</f>
        <v>2025</v>
      </c>
      <c r="D457" s="506">
        <f t="shared" si="39"/>
        <v>75726877.034722224</v>
      </c>
      <c r="E457" s="549">
        <f t="shared" si="41"/>
        <v>2753704.6194444443</v>
      </c>
      <c r="F457" s="549">
        <f t="shared" si="35"/>
        <v>72973172.415277779</v>
      </c>
      <c r="G457" s="506">
        <f t="shared" si="40"/>
        <v>74350024.724999994</v>
      </c>
      <c r="H457" s="554">
        <f>+J443*G457+E457</f>
        <v>10956490.098710682</v>
      </c>
      <c r="I457" s="555">
        <f>+J444*G457+E457</f>
        <v>10956490.098710682</v>
      </c>
      <c r="J457" s="552">
        <f t="shared" si="42"/>
        <v>0</v>
      </c>
      <c r="K457" s="552"/>
      <c r="L457" s="572">
        <v>11298340.817354895</v>
      </c>
      <c r="M457" s="552">
        <f t="shared" si="36"/>
        <v>-341850.71864421293</v>
      </c>
      <c r="N457" s="572">
        <v>11298340.817354895</v>
      </c>
      <c r="O457" s="552">
        <f t="shared" si="37"/>
        <v>-341850.71864421293</v>
      </c>
      <c r="P457" s="552">
        <f t="shared" si="38"/>
        <v>0</v>
      </c>
    </row>
    <row r="458" spans="3:16">
      <c r="C458" s="548">
        <f>IF(D442="","-",+C457+1)</f>
        <v>2026</v>
      </c>
      <c r="D458" s="506">
        <f t="shared" si="39"/>
        <v>72973172.415277779</v>
      </c>
      <c r="E458" s="549">
        <f t="shared" si="41"/>
        <v>2753704.6194444443</v>
      </c>
      <c r="F458" s="549">
        <f t="shared" si="35"/>
        <v>70219467.795833334</v>
      </c>
      <c r="G458" s="506">
        <f t="shared" si="40"/>
        <v>71596320.105555564</v>
      </c>
      <c r="H458" s="554">
        <f>+J443*G458+E458</f>
        <v>10652683.229108229</v>
      </c>
      <c r="I458" s="555">
        <f>+J444*G458+E458</f>
        <v>10652683.229108229</v>
      </c>
      <c r="J458" s="552">
        <f t="shared" si="42"/>
        <v>0</v>
      </c>
      <c r="K458" s="552"/>
      <c r="L458" s="572"/>
      <c r="M458" s="552">
        <f t="shared" si="36"/>
        <v>0</v>
      </c>
      <c r="N458" s="572"/>
      <c r="O458" s="552">
        <f t="shared" si="37"/>
        <v>0</v>
      </c>
      <c r="P458" s="552">
        <f t="shared" si="38"/>
        <v>0</v>
      </c>
    </row>
    <row r="459" spans="3:16">
      <c r="C459" s="548">
        <f>IF(D442="","-",+C458+1)</f>
        <v>2027</v>
      </c>
      <c r="D459" s="506">
        <f t="shared" si="39"/>
        <v>70219467.795833334</v>
      </c>
      <c r="E459" s="549">
        <f t="shared" si="41"/>
        <v>2753704.6194444443</v>
      </c>
      <c r="F459" s="549">
        <f t="shared" si="35"/>
        <v>67465763.17638889</v>
      </c>
      <c r="G459" s="506">
        <f t="shared" si="40"/>
        <v>68842615.486111104</v>
      </c>
      <c r="H459" s="554">
        <f>+J443*G459+E459</f>
        <v>10348876.359505774</v>
      </c>
      <c r="I459" s="555">
        <f>+J444*G459+E459</f>
        <v>10348876.359505774</v>
      </c>
      <c r="J459" s="552">
        <f t="shared" si="42"/>
        <v>0</v>
      </c>
      <c r="K459" s="552"/>
      <c r="L459" s="572"/>
      <c r="M459" s="552">
        <f t="shared" si="36"/>
        <v>0</v>
      </c>
      <c r="N459" s="572"/>
      <c r="O459" s="552">
        <f t="shared" si="37"/>
        <v>0</v>
      </c>
      <c r="P459" s="552">
        <f t="shared" si="38"/>
        <v>0</v>
      </c>
    </row>
    <row r="460" spans="3:16">
      <c r="C460" s="548">
        <f>IF(D442="","-",+C459+1)</f>
        <v>2028</v>
      </c>
      <c r="D460" s="506">
        <f t="shared" si="39"/>
        <v>67465763.17638889</v>
      </c>
      <c r="E460" s="549">
        <f t="shared" si="41"/>
        <v>2753704.6194444443</v>
      </c>
      <c r="F460" s="549">
        <f t="shared" si="35"/>
        <v>64712058.556944445</v>
      </c>
      <c r="G460" s="506">
        <f t="shared" si="40"/>
        <v>66088910.866666667</v>
      </c>
      <c r="H460" s="554">
        <f>+J443*G460+E460</f>
        <v>10045069.489903321</v>
      </c>
      <c r="I460" s="555">
        <f>+J444*G460+E460</f>
        <v>10045069.489903321</v>
      </c>
      <c r="J460" s="552">
        <f t="shared" si="42"/>
        <v>0</v>
      </c>
      <c r="K460" s="552"/>
      <c r="L460" s="572"/>
      <c r="M460" s="552">
        <f t="shared" si="36"/>
        <v>0</v>
      </c>
      <c r="N460" s="572"/>
      <c r="O460" s="552">
        <f t="shared" si="37"/>
        <v>0</v>
      </c>
      <c r="P460" s="552">
        <f t="shared" si="38"/>
        <v>0</v>
      </c>
    </row>
    <row r="461" spans="3:16">
      <c r="C461" s="548">
        <f>IF(D442="","-",+C460+1)</f>
        <v>2029</v>
      </c>
      <c r="D461" s="506">
        <f t="shared" si="39"/>
        <v>64712058.556944445</v>
      </c>
      <c r="E461" s="549">
        <f t="shared" si="41"/>
        <v>2753704.6194444443</v>
      </c>
      <c r="F461" s="549">
        <f t="shared" si="35"/>
        <v>61958353.9375</v>
      </c>
      <c r="G461" s="506">
        <f t="shared" si="40"/>
        <v>63335206.247222222</v>
      </c>
      <c r="H461" s="554">
        <f>+J443*G461+E461</f>
        <v>9741262.6203008685</v>
      </c>
      <c r="I461" s="555">
        <f>+J444*G461+E461</f>
        <v>9741262.6203008685</v>
      </c>
      <c r="J461" s="552">
        <f t="shared" si="42"/>
        <v>0</v>
      </c>
      <c r="K461" s="552"/>
      <c r="L461" s="572"/>
      <c r="M461" s="552">
        <f t="shared" si="36"/>
        <v>0</v>
      </c>
      <c r="N461" s="572"/>
      <c r="O461" s="552">
        <f t="shared" si="37"/>
        <v>0</v>
      </c>
      <c r="P461" s="552">
        <f t="shared" si="38"/>
        <v>0</v>
      </c>
    </row>
    <row r="462" spans="3:16">
      <c r="C462" s="548">
        <f>IF(D442="","-",+C461+1)</f>
        <v>2030</v>
      </c>
      <c r="D462" s="506">
        <f t="shared" si="39"/>
        <v>61958353.9375</v>
      </c>
      <c r="E462" s="549">
        <f t="shared" si="41"/>
        <v>2753704.6194444443</v>
      </c>
      <c r="F462" s="549">
        <f t="shared" si="35"/>
        <v>59204649.318055555</v>
      </c>
      <c r="G462" s="506">
        <f t="shared" si="40"/>
        <v>60581501.627777778</v>
      </c>
      <c r="H462" s="554">
        <f>+J443*G462+E462</f>
        <v>9437455.7506984156</v>
      </c>
      <c r="I462" s="555">
        <f>+J444*G462+E462</f>
        <v>9437455.7506984156</v>
      </c>
      <c r="J462" s="552">
        <f t="shared" si="42"/>
        <v>0</v>
      </c>
      <c r="K462" s="552"/>
      <c r="L462" s="572"/>
      <c r="M462" s="552">
        <f t="shared" si="36"/>
        <v>0</v>
      </c>
      <c r="N462" s="572"/>
      <c r="O462" s="552">
        <f t="shared" si="37"/>
        <v>0</v>
      </c>
      <c r="P462" s="552">
        <f t="shared" si="38"/>
        <v>0</v>
      </c>
    </row>
    <row r="463" spans="3:16">
      <c r="C463" s="548">
        <f>IF(D442="","-",+C462+1)</f>
        <v>2031</v>
      </c>
      <c r="D463" s="506">
        <f t="shared" si="39"/>
        <v>59204649.318055555</v>
      </c>
      <c r="E463" s="549">
        <f t="shared" si="41"/>
        <v>2753704.6194444443</v>
      </c>
      <c r="F463" s="549">
        <f t="shared" si="35"/>
        <v>56450944.69861111</v>
      </c>
      <c r="G463" s="506">
        <f t="shared" si="40"/>
        <v>57827797.008333333</v>
      </c>
      <c r="H463" s="554">
        <f>+J443*G463+E463</f>
        <v>9133648.8810959626</v>
      </c>
      <c r="I463" s="555">
        <f>+J444*G463+E463</f>
        <v>9133648.8810959626</v>
      </c>
      <c r="J463" s="552">
        <f t="shared" si="42"/>
        <v>0</v>
      </c>
      <c r="K463" s="552"/>
      <c r="L463" s="572"/>
      <c r="M463" s="552">
        <f t="shared" si="36"/>
        <v>0</v>
      </c>
      <c r="N463" s="572"/>
      <c r="O463" s="552">
        <f t="shared" si="37"/>
        <v>0</v>
      </c>
      <c r="P463" s="552">
        <f t="shared" si="38"/>
        <v>0</v>
      </c>
    </row>
    <row r="464" spans="3:16">
      <c r="C464" s="548">
        <f>IF(D442="","-",+C463+1)</f>
        <v>2032</v>
      </c>
      <c r="D464" s="506">
        <f t="shared" si="39"/>
        <v>56450944.69861111</v>
      </c>
      <c r="E464" s="549">
        <f t="shared" si="41"/>
        <v>2753704.6194444443</v>
      </c>
      <c r="F464" s="549">
        <f t="shared" si="35"/>
        <v>53697240.079166666</v>
      </c>
      <c r="G464" s="506">
        <f t="shared" si="40"/>
        <v>55074092.388888888</v>
      </c>
      <c r="H464" s="554">
        <f>+J443*G464+E464</f>
        <v>8829842.0114935096</v>
      </c>
      <c r="I464" s="555">
        <f>+J444*G464+E464</f>
        <v>8829842.0114935096</v>
      </c>
      <c r="J464" s="552">
        <f t="shared" si="42"/>
        <v>0</v>
      </c>
      <c r="K464" s="552"/>
      <c r="L464" s="572"/>
      <c r="M464" s="552">
        <f t="shared" si="36"/>
        <v>0</v>
      </c>
      <c r="N464" s="572"/>
      <c r="O464" s="552">
        <f t="shared" si="37"/>
        <v>0</v>
      </c>
      <c r="P464" s="552">
        <f t="shared" si="38"/>
        <v>0</v>
      </c>
    </row>
    <row r="465" spans="3:16">
      <c r="C465" s="548">
        <f>IF(D442="","-",+C464+1)</f>
        <v>2033</v>
      </c>
      <c r="D465" s="506">
        <f t="shared" si="39"/>
        <v>53697240.079166666</v>
      </c>
      <c r="E465" s="549">
        <f t="shared" si="41"/>
        <v>2753704.6194444443</v>
      </c>
      <c r="F465" s="549">
        <f t="shared" si="35"/>
        <v>50943535.459722221</v>
      </c>
      <c r="G465" s="506">
        <f t="shared" si="40"/>
        <v>52320387.769444443</v>
      </c>
      <c r="H465" s="554">
        <f>+J443*G465+E465</f>
        <v>8526035.1418910567</v>
      </c>
      <c r="I465" s="555">
        <f>+J444*G465+E465</f>
        <v>8526035.1418910567</v>
      </c>
      <c r="J465" s="552">
        <f t="shared" si="42"/>
        <v>0</v>
      </c>
      <c r="K465" s="552"/>
      <c r="L465" s="572"/>
      <c r="M465" s="552">
        <f t="shared" si="36"/>
        <v>0</v>
      </c>
      <c r="N465" s="572"/>
      <c r="O465" s="552">
        <f t="shared" si="37"/>
        <v>0</v>
      </c>
      <c r="P465" s="552">
        <f t="shared" si="38"/>
        <v>0</v>
      </c>
    </row>
    <row r="466" spans="3:16">
      <c r="C466" s="548">
        <f>IF(D442="","-",+C465+1)</f>
        <v>2034</v>
      </c>
      <c r="D466" s="506">
        <f t="shared" si="39"/>
        <v>50943535.459722221</v>
      </c>
      <c r="E466" s="549">
        <f t="shared" si="41"/>
        <v>2753704.6194444443</v>
      </c>
      <c r="F466" s="549">
        <f t="shared" si="35"/>
        <v>48189830.840277776</v>
      </c>
      <c r="G466" s="506">
        <f t="shared" si="40"/>
        <v>49566683.149999999</v>
      </c>
      <c r="H466" s="554">
        <f>+J443*G466+E466</f>
        <v>8222228.2722886018</v>
      </c>
      <c r="I466" s="555">
        <f>+J444*G466+E466</f>
        <v>8222228.2722886018</v>
      </c>
      <c r="J466" s="552">
        <f t="shared" si="42"/>
        <v>0</v>
      </c>
      <c r="K466" s="552"/>
      <c r="L466" s="572"/>
      <c r="M466" s="552">
        <f t="shared" si="36"/>
        <v>0</v>
      </c>
      <c r="N466" s="572"/>
      <c r="O466" s="552">
        <f t="shared" si="37"/>
        <v>0</v>
      </c>
      <c r="P466" s="552">
        <f t="shared" si="38"/>
        <v>0</v>
      </c>
    </row>
    <row r="467" spans="3:16">
      <c r="C467" s="548">
        <f>IF(D442="","-",+C466+1)</f>
        <v>2035</v>
      </c>
      <c r="D467" s="506">
        <f t="shared" si="39"/>
        <v>48189830.840277776</v>
      </c>
      <c r="E467" s="549">
        <f t="shared" si="41"/>
        <v>2753704.6194444443</v>
      </c>
      <c r="F467" s="549">
        <f t="shared" si="35"/>
        <v>45436126.220833331</v>
      </c>
      <c r="G467" s="506">
        <f t="shared" si="40"/>
        <v>46812978.530555554</v>
      </c>
      <c r="H467" s="554">
        <f>+J443*G467+E467</f>
        <v>7918421.4026861489</v>
      </c>
      <c r="I467" s="555">
        <f>+J444*G467+E467</f>
        <v>7918421.4026861489</v>
      </c>
      <c r="J467" s="552">
        <f t="shared" si="42"/>
        <v>0</v>
      </c>
      <c r="K467" s="552"/>
      <c r="L467" s="572"/>
      <c r="M467" s="552">
        <f t="shared" si="36"/>
        <v>0</v>
      </c>
      <c r="N467" s="572"/>
      <c r="O467" s="552">
        <f t="shared" si="37"/>
        <v>0</v>
      </c>
      <c r="P467" s="552">
        <f t="shared" si="38"/>
        <v>0</v>
      </c>
    </row>
    <row r="468" spans="3:16">
      <c r="C468" s="548">
        <f>IF(D442="","-",+C467+1)</f>
        <v>2036</v>
      </c>
      <c r="D468" s="506">
        <f t="shared" si="39"/>
        <v>45436126.220833331</v>
      </c>
      <c r="E468" s="549">
        <f t="shared" si="41"/>
        <v>2753704.6194444443</v>
      </c>
      <c r="F468" s="549">
        <f t="shared" si="35"/>
        <v>42682421.601388887</v>
      </c>
      <c r="G468" s="506">
        <f t="shared" si="40"/>
        <v>44059273.911111109</v>
      </c>
      <c r="H468" s="554">
        <f>+J443*G468+E468</f>
        <v>7614614.5330836959</v>
      </c>
      <c r="I468" s="555">
        <f>+J444*G468+E468</f>
        <v>7614614.5330836959</v>
      </c>
      <c r="J468" s="552">
        <f t="shared" si="42"/>
        <v>0</v>
      </c>
      <c r="K468" s="552"/>
      <c r="L468" s="572"/>
      <c r="M468" s="552">
        <f t="shared" si="36"/>
        <v>0</v>
      </c>
      <c r="N468" s="572"/>
      <c r="O468" s="552">
        <f t="shared" si="37"/>
        <v>0</v>
      </c>
      <c r="P468" s="552">
        <f t="shared" si="38"/>
        <v>0</v>
      </c>
    </row>
    <row r="469" spans="3:16">
      <c r="C469" s="548">
        <f>IF(D442="","-",+C468+1)</f>
        <v>2037</v>
      </c>
      <c r="D469" s="506">
        <f t="shared" si="39"/>
        <v>42682421.601388887</v>
      </c>
      <c r="E469" s="549">
        <f t="shared" si="41"/>
        <v>2753704.6194444443</v>
      </c>
      <c r="F469" s="549">
        <f t="shared" si="35"/>
        <v>39928716.981944442</v>
      </c>
      <c r="G469" s="506">
        <f t="shared" si="40"/>
        <v>41305569.291666664</v>
      </c>
      <c r="H469" s="554">
        <f>+J443*G469+E469</f>
        <v>7310807.663481243</v>
      </c>
      <c r="I469" s="555">
        <f>+J444*G469+E469</f>
        <v>7310807.663481243</v>
      </c>
      <c r="J469" s="552">
        <f t="shared" si="42"/>
        <v>0</v>
      </c>
      <c r="K469" s="552"/>
      <c r="L469" s="572"/>
      <c r="M469" s="552">
        <f t="shared" si="36"/>
        <v>0</v>
      </c>
      <c r="N469" s="572"/>
      <c r="O469" s="552">
        <f t="shared" si="37"/>
        <v>0</v>
      </c>
      <c r="P469" s="552">
        <f t="shared" si="38"/>
        <v>0</v>
      </c>
    </row>
    <row r="470" spans="3:16">
      <c r="C470" s="548">
        <f>IF(D442="","-",+C469+1)</f>
        <v>2038</v>
      </c>
      <c r="D470" s="506">
        <f t="shared" si="39"/>
        <v>39928716.981944442</v>
      </c>
      <c r="E470" s="549">
        <f t="shared" si="41"/>
        <v>2753704.6194444443</v>
      </c>
      <c r="F470" s="549">
        <f t="shared" si="35"/>
        <v>37175012.362499997</v>
      </c>
      <c r="G470" s="506">
        <f t="shared" si="40"/>
        <v>38551864.672222219</v>
      </c>
      <c r="H470" s="554">
        <f>+J443*G470+E470</f>
        <v>7007000.79387879</v>
      </c>
      <c r="I470" s="555">
        <f>+J444*G470+E470</f>
        <v>7007000.79387879</v>
      </c>
      <c r="J470" s="552">
        <f t="shared" si="42"/>
        <v>0</v>
      </c>
      <c r="K470" s="552"/>
      <c r="L470" s="572"/>
      <c r="M470" s="552">
        <f t="shared" si="36"/>
        <v>0</v>
      </c>
      <c r="N470" s="572"/>
      <c r="O470" s="552">
        <f t="shared" si="37"/>
        <v>0</v>
      </c>
      <c r="P470" s="552">
        <f t="shared" si="38"/>
        <v>0</v>
      </c>
    </row>
    <row r="471" spans="3:16">
      <c r="C471" s="548">
        <f>IF(D442="","-",+C470+1)</f>
        <v>2039</v>
      </c>
      <c r="D471" s="506">
        <f t="shared" si="39"/>
        <v>37175012.362499997</v>
      </c>
      <c r="E471" s="549">
        <f t="shared" si="41"/>
        <v>2753704.6194444443</v>
      </c>
      <c r="F471" s="549">
        <f t="shared" si="35"/>
        <v>34421307.743055552</v>
      </c>
      <c r="G471" s="506">
        <f t="shared" si="40"/>
        <v>35798160.052777775</v>
      </c>
      <c r="H471" s="554">
        <f>+J443*G471+E471</f>
        <v>6703193.9242763361</v>
      </c>
      <c r="I471" s="555">
        <f>+J444*G471+E471</f>
        <v>6703193.9242763361</v>
      </c>
      <c r="J471" s="552">
        <f t="shared" si="42"/>
        <v>0</v>
      </c>
      <c r="K471" s="552"/>
      <c r="L471" s="572"/>
      <c r="M471" s="552">
        <f t="shared" si="36"/>
        <v>0</v>
      </c>
      <c r="N471" s="572"/>
      <c r="O471" s="552">
        <f t="shared" si="37"/>
        <v>0</v>
      </c>
      <c r="P471" s="552">
        <f t="shared" si="38"/>
        <v>0</v>
      </c>
    </row>
    <row r="472" spans="3:16">
      <c r="C472" s="548">
        <f>IF(D442="","-",+C471+1)</f>
        <v>2040</v>
      </c>
      <c r="D472" s="506">
        <f t="shared" si="39"/>
        <v>34421307.743055552</v>
      </c>
      <c r="E472" s="549">
        <f t="shared" si="41"/>
        <v>2753704.6194444443</v>
      </c>
      <c r="F472" s="549">
        <f t="shared" si="35"/>
        <v>31667603.123611107</v>
      </c>
      <c r="G472" s="506">
        <f t="shared" si="40"/>
        <v>33044455.43333333</v>
      </c>
      <c r="H472" s="554">
        <f>+J443*G472+E472</f>
        <v>6399387.0546738831</v>
      </c>
      <c r="I472" s="555">
        <f>+J444*G472+E472</f>
        <v>6399387.0546738831</v>
      </c>
      <c r="J472" s="552">
        <f t="shared" si="42"/>
        <v>0</v>
      </c>
      <c r="K472" s="552"/>
      <c r="L472" s="572"/>
      <c r="M472" s="552">
        <f t="shared" si="36"/>
        <v>0</v>
      </c>
      <c r="N472" s="572"/>
      <c r="O472" s="552">
        <f t="shared" si="37"/>
        <v>0</v>
      </c>
      <c r="P472" s="552">
        <f t="shared" si="38"/>
        <v>0</v>
      </c>
    </row>
    <row r="473" spans="3:16">
      <c r="C473" s="548">
        <f>IF(D442="","-",+C472+1)</f>
        <v>2041</v>
      </c>
      <c r="D473" s="506">
        <f t="shared" si="39"/>
        <v>31667603.123611107</v>
      </c>
      <c r="E473" s="549">
        <f t="shared" si="41"/>
        <v>2753704.6194444443</v>
      </c>
      <c r="F473" s="549">
        <f t="shared" si="35"/>
        <v>28913898.504166663</v>
      </c>
      <c r="G473" s="506">
        <f t="shared" si="40"/>
        <v>30290750.813888885</v>
      </c>
      <c r="H473" s="554">
        <f>+J443*G473+E473</f>
        <v>6095580.1850714292</v>
      </c>
      <c r="I473" s="555">
        <f>+J444*G473+E473</f>
        <v>6095580.1850714292</v>
      </c>
      <c r="J473" s="552">
        <f t="shared" si="42"/>
        <v>0</v>
      </c>
      <c r="K473" s="552"/>
      <c r="L473" s="572"/>
      <c r="M473" s="552">
        <f t="shared" si="36"/>
        <v>0</v>
      </c>
      <c r="N473" s="572"/>
      <c r="O473" s="552">
        <f t="shared" si="37"/>
        <v>0</v>
      </c>
      <c r="P473" s="552">
        <f t="shared" si="38"/>
        <v>0</v>
      </c>
    </row>
    <row r="474" spans="3:16">
      <c r="C474" s="548">
        <f>IF(D442="","-",+C473+1)</f>
        <v>2042</v>
      </c>
      <c r="D474" s="506">
        <f t="shared" si="39"/>
        <v>28913898.504166663</v>
      </c>
      <c r="E474" s="549">
        <f t="shared" si="41"/>
        <v>2753704.6194444443</v>
      </c>
      <c r="F474" s="549">
        <f t="shared" si="35"/>
        <v>26160193.884722218</v>
      </c>
      <c r="G474" s="506">
        <f t="shared" si="40"/>
        <v>27537046.19444444</v>
      </c>
      <c r="H474" s="554">
        <f>+J443*G474+E474</f>
        <v>5791773.3154689763</v>
      </c>
      <c r="I474" s="555">
        <f>+J444*G474+E474</f>
        <v>5791773.3154689763</v>
      </c>
      <c r="J474" s="552">
        <f t="shared" si="42"/>
        <v>0</v>
      </c>
      <c r="K474" s="552"/>
      <c r="L474" s="572"/>
      <c r="M474" s="552">
        <f t="shared" si="36"/>
        <v>0</v>
      </c>
      <c r="N474" s="572"/>
      <c r="O474" s="552">
        <f t="shared" si="37"/>
        <v>0</v>
      </c>
      <c r="P474" s="552">
        <f t="shared" si="38"/>
        <v>0</v>
      </c>
    </row>
    <row r="475" spans="3:16">
      <c r="C475" s="548">
        <f>IF(D442="","-",+C474+1)</f>
        <v>2043</v>
      </c>
      <c r="D475" s="506">
        <f t="shared" si="39"/>
        <v>26160193.884722218</v>
      </c>
      <c r="E475" s="549">
        <f t="shared" si="41"/>
        <v>2753704.6194444443</v>
      </c>
      <c r="F475" s="549">
        <f t="shared" si="35"/>
        <v>23406489.265277773</v>
      </c>
      <c r="G475" s="506">
        <f t="shared" si="40"/>
        <v>24783341.574999996</v>
      </c>
      <c r="H475" s="554">
        <f>+J443*G475+E475</f>
        <v>5487966.4458665233</v>
      </c>
      <c r="I475" s="555">
        <f>+J444*G475+E475</f>
        <v>5487966.4458665233</v>
      </c>
      <c r="J475" s="552">
        <f t="shared" si="42"/>
        <v>0</v>
      </c>
      <c r="K475" s="552"/>
      <c r="L475" s="572"/>
      <c r="M475" s="552">
        <f t="shared" si="36"/>
        <v>0</v>
      </c>
      <c r="N475" s="572"/>
      <c r="O475" s="552">
        <f t="shared" si="37"/>
        <v>0</v>
      </c>
      <c r="P475" s="552">
        <f t="shared" si="38"/>
        <v>0</v>
      </c>
    </row>
    <row r="476" spans="3:16">
      <c r="C476" s="548">
        <f>IF(D442="","-",+C475+1)</f>
        <v>2044</v>
      </c>
      <c r="D476" s="506">
        <f t="shared" si="39"/>
        <v>23406489.265277773</v>
      </c>
      <c r="E476" s="549">
        <f t="shared" si="41"/>
        <v>2753704.6194444443</v>
      </c>
      <c r="F476" s="549">
        <f t="shared" si="35"/>
        <v>20652784.645833328</v>
      </c>
      <c r="G476" s="506">
        <f t="shared" si="40"/>
        <v>22029636.955555551</v>
      </c>
      <c r="H476" s="554">
        <f>+J443*G476+E476</f>
        <v>5184159.5762640703</v>
      </c>
      <c r="I476" s="555">
        <f>+J444*G476+E476</f>
        <v>5184159.5762640703</v>
      </c>
      <c r="J476" s="552">
        <f t="shared" si="42"/>
        <v>0</v>
      </c>
      <c r="K476" s="552"/>
      <c r="L476" s="572"/>
      <c r="M476" s="552">
        <f t="shared" si="36"/>
        <v>0</v>
      </c>
      <c r="N476" s="572"/>
      <c r="O476" s="552">
        <f t="shared" si="37"/>
        <v>0</v>
      </c>
      <c r="P476" s="552">
        <f t="shared" si="38"/>
        <v>0</v>
      </c>
    </row>
    <row r="477" spans="3:16">
      <c r="C477" s="548">
        <f>IF(D442="","-",+C476+1)</f>
        <v>2045</v>
      </c>
      <c r="D477" s="506">
        <f t="shared" si="39"/>
        <v>20652784.645833328</v>
      </c>
      <c r="E477" s="549">
        <f t="shared" si="41"/>
        <v>2753704.6194444443</v>
      </c>
      <c r="F477" s="549">
        <f t="shared" si="35"/>
        <v>17899080.026388884</v>
      </c>
      <c r="G477" s="506">
        <f t="shared" si="40"/>
        <v>19275932.336111106</v>
      </c>
      <c r="H477" s="554">
        <f>+J443*G477+E477</f>
        <v>4880352.7066616165</v>
      </c>
      <c r="I477" s="555">
        <f>+J444*G477+E477</f>
        <v>4880352.7066616165</v>
      </c>
      <c r="J477" s="552">
        <f t="shared" si="42"/>
        <v>0</v>
      </c>
      <c r="K477" s="552"/>
      <c r="L477" s="572"/>
      <c r="M477" s="552">
        <f t="shared" si="36"/>
        <v>0</v>
      </c>
      <c r="N477" s="572"/>
      <c r="O477" s="552">
        <f t="shared" si="37"/>
        <v>0</v>
      </c>
      <c r="P477" s="552">
        <f t="shared" si="38"/>
        <v>0</v>
      </c>
    </row>
    <row r="478" spans="3:16">
      <c r="C478" s="548">
        <f>IF(D442="","-",+C477+1)</f>
        <v>2046</v>
      </c>
      <c r="D478" s="506">
        <f t="shared" si="39"/>
        <v>17899080.026388884</v>
      </c>
      <c r="E478" s="549">
        <f t="shared" si="41"/>
        <v>2753704.6194444443</v>
      </c>
      <c r="F478" s="549">
        <f t="shared" si="35"/>
        <v>15145375.406944439</v>
      </c>
      <c r="G478" s="506">
        <f t="shared" si="40"/>
        <v>16522227.716666661</v>
      </c>
      <c r="H478" s="554">
        <f>+J443*G478+E478</f>
        <v>4576545.8370591635</v>
      </c>
      <c r="I478" s="555">
        <f>+J444*G478+E478</f>
        <v>4576545.8370591635</v>
      </c>
      <c r="J478" s="552">
        <f t="shared" si="42"/>
        <v>0</v>
      </c>
      <c r="K478" s="552"/>
      <c r="L478" s="572"/>
      <c r="M478" s="552">
        <f t="shared" si="36"/>
        <v>0</v>
      </c>
      <c r="N478" s="572"/>
      <c r="O478" s="552">
        <f t="shared" si="37"/>
        <v>0</v>
      </c>
      <c r="P478" s="552">
        <f t="shared" si="38"/>
        <v>0</v>
      </c>
    </row>
    <row r="479" spans="3:16">
      <c r="C479" s="548">
        <f>IF(D442="","-",+C478+1)</f>
        <v>2047</v>
      </c>
      <c r="D479" s="506">
        <f t="shared" si="39"/>
        <v>15145375.406944439</v>
      </c>
      <c r="E479" s="549">
        <f t="shared" si="41"/>
        <v>2753704.6194444443</v>
      </c>
      <c r="F479" s="549">
        <f t="shared" si="35"/>
        <v>12391670.787499994</v>
      </c>
      <c r="G479" s="506">
        <f t="shared" si="40"/>
        <v>13768523.097222216</v>
      </c>
      <c r="H479" s="554">
        <f>+J443*G479+E479</f>
        <v>4272738.9674567096</v>
      </c>
      <c r="I479" s="555">
        <f>+J444*G479+E479</f>
        <v>4272738.9674567096</v>
      </c>
      <c r="J479" s="552">
        <f t="shared" si="42"/>
        <v>0</v>
      </c>
      <c r="K479" s="552"/>
      <c r="L479" s="572"/>
      <c r="M479" s="552">
        <f t="shared" si="36"/>
        <v>0</v>
      </c>
      <c r="N479" s="572"/>
      <c r="O479" s="552">
        <f t="shared" si="37"/>
        <v>0</v>
      </c>
      <c r="P479" s="552">
        <f t="shared" si="38"/>
        <v>0</v>
      </c>
    </row>
    <row r="480" spans="3:16">
      <c r="C480" s="548">
        <f>IF(D442="","-",+C479+1)</f>
        <v>2048</v>
      </c>
      <c r="D480" s="506">
        <f t="shared" si="39"/>
        <v>12391670.787499994</v>
      </c>
      <c r="E480" s="549">
        <f t="shared" si="41"/>
        <v>2753704.6194444443</v>
      </c>
      <c r="F480" s="549">
        <f t="shared" si="35"/>
        <v>9637966.1680555493</v>
      </c>
      <c r="G480" s="506">
        <f t="shared" si="40"/>
        <v>11014818.477777772</v>
      </c>
      <c r="H480" s="554">
        <f>+J443*G480+E480</f>
        <v>3968932.0978542566</v>
      </c>
      <c r="I480" s="555">
        <f>+J444*G480+E480</f>
        <v>3968932.0978542566</v>
      </c>
      <c r="J480" s="552">
        <f t="shared" si="42"/>
        <v>0</v>
      </c>
      <c r="K480" s="552"/>
      <c r="L480" s="572"/>
      <c r="M480" s="552">
        <f t="shared" si="36"/>
        <v>0</v>
      </c>
      <c r="N480" s="572"/>
      <c r="O480" s="552">
        <f t="shared" si="37"/>
        <v>0</v>
      </c>
      <c r="P480" s="552">
        <f t="shared" si="38"/>
        <v>0</v>
      </c>
    </row>
    <row r="481" spans="3:16">
      <c r="C481" s="548">
        <f>IF(D442="","-",+C480+1)</f>
        <v>2049</v>
      </c>
      <c r="D481" s="506">
        <f t="shared" si="39"/>
        <v>9637966.1680555493</v>
      </c>
      <c r="E481" s="549">
        <f t="shared" si="41"/>
        <v>2753704.6194444443</v>
      </c>
      <c r="F481" s="549">
        <f t="shared" si="35"/>
        <v>6884261.5486111045</v>
      </c>
      <c r="G481" s="506">
        <f t="shared" si="40"/>
        <v>8261113.8583333269</v>
      </c>
      <c r="H481" s="554">
        <f>+J443*G481+E481</f>
        <v>3665125.2282518032</v>
      </c>
      <c r="I481" s="555">
        <f>+J444*G481+E481</f>
        <v>3665125.2282518032</v>
      </c>
      <c r="J481" s="552">
        <f t="shared" si="42"/>
        <v>0</v>
      </c>
      <c r="K481" s="552"/>
      <c r="L481" s="572"/>
      <c r="M481" s="552">
        <f t="shared" si="36"/>
        <v>0</v>
      </c>
      <c r="N481" s="572"/>
      <c r="O481" s="552">
        <f t="shared" si="37"/>
        <v>0</v>
      </c>
      <c r="P481" s="552">
        <f t="shared" si="38"/>
        <v>0</v>
      </c>
    </row>
    <row r="482" spans="3:16">
      <c r="C482" s="548">
        <f>IF(D442="","-",+C481+1)</f>
        <v>2050</v>
      </c>
      <c r="D482" s="506">
        <f t="shared" si="39"/>
        <v>6884261.5486111045</v>
      </c>
      <c r="E482" s="549">
        <f t="shared" si="41"/>
        <v>2753704.6194444443</v>
      </c>
      <c r="F482" s="549">
        <f t="shared" si="35"/>
        <v>4130556.9291666602</v>
      </c>
      <c r="G482" s="506">
        <f t="shared" si="40"/>
        <v>5507409.2388888821</v>
      </c>
      <c r="H482" s="554">
        <f>+J443*G482+E482</f>
        <v>3361318.3586493498</v>
      </c>
      <c r="I482" s="555">
        <f>+J444*G482+E482</f>
        <v>3361318.3586493498</v>
      </c>
      <c r="J482" s="552">
        <f t="shared" si="42"/>
        <v>0</v>
      </c>
      <c r="K482" s="552"/>
      <c r="L482" s="572"/>
      <c r="M482" s="552">
        <f t="shared" si="36"/>
        <v>0</v>
      </c>
      <c r="N482" s="572"/>
      <c r="O482" s="552">
        <f t="shared" si="37"/>
        <v>0</v>
      </c>
      <c r="P482" s="552">
        <f t="shared" si="38"/>
        <v>0</v>
      </c>
    </row>
    <row r="483" spans="3:16">
      <c r="C483" s="548">
        <f>IF(D442="","-",+C482+1)</f>
        <v>2051</v>
      </c>
      <c r="D483" s="506">
        <f t="shared" si="39"/>
        <v>4130556.9291666602</v>
      </c>
      <c r="E483" s="549">
        <f t="shared" si="41"/>
        <v>2753704.6194444443</v>
      </c>
      <c r="F483" s="549">
        <f t="shared" si="35"/>
        <v>1376852.3097222159</v>
      </c>
      <c r="G483" s="506">
        <f t="shared" si="40"/>
        <v>2753704.6194444383</v>
      </c>
      <c r="H483" s="554">
        <f>+J443*G483+E483</f>
        <v>3057511.4890468968</v>
      </c>
      <c r="I483" s="555">
        <f>+J444*G483+E483</f>
        <v>3057511.4890468968</v>
      </c>
      <c r="J483" s="552">
        <f t="shared" si="42"/>
        <v>0</v>
      </c>
      <c r="K483" s="552"/>
      <c r="L483" s="572"/>
      <c r="M483" s="552">
        <f t="shared" si="36"/>
        <v>0</v>
      </c>
      <c r="N483" s="572"/>
      <c r="O483" s="552">
        <f t="shared" si="37"/>
        <v>0</v>
      </c>
      <c r="P483" s="552">
        <f t="shared" si="38"/>
        <v>0</v>
      </c>
    </row>
    <row r="484" spans="3:16">
      <c r="C484" s="548">
        <f>IF(D442="","-",+C483+1)</f>
        <v>2052</v>
      </c>
      <c r="D484" s="506">
        <f t="shared" si="39"/>
        <v>1376852.3097222159</v>
      </c>
      <c r="E484" s="549">
        <f t="shared" si="41"/>
        <v>1376852.3097222159</v>
      </c>
      <c r="F484" s="549">
        <f t="shared" si="35"/>
        <v>0</v>
      </c>
      <c r="G484" s="506">
        <f t="shared" si="40"/>
        <v>688426.15486110793</v>
      </c>
      <c r="H484" s="554">
        <f>+J443*G484+E484</f>
        <v>1452804.0271228289</v>
      </c>
      <c r="I484" s="555">
        <f>+J444*G484+E484</f>
        <v>1452804.0271228289</v>
      </c>
      <c r="J484" s="552">
        <f t="shared" si="42"/>
        <v>0</v>
      </c>
      <c r="K484" s="552"/>
      <c r="L484" s="572"/>
      <c r="M484" s="552">
        <f t="shared" si="36"/>
        <v>0</v>
      </c>
      <c r="N484" s="572"/>
      <c r="O484" s="552">
        <f t="shared" si="37"/>
        <v>0</v>
      </c>
      <c r="P484" s="552">
        <f t="shared" si="38"/>
        <v>0</v>
      </c>
    </row>
    <row r="485" spans="3:16">
      <c r="C485" s="548">
        <f>IF(D442="","-",+C484+1)</f>
        <v>2053</v>
      </c>
      <c r="D485" s="506">
        <f t="shared" si="39"/>
        <v>0</v>
      </c>
      <c r="E485" s="549">
        <f t="shared" si="41"/>
        <v>0</v>
      </c>
      <c r="F485" s="549">
        <f t="shared" si="35"/>
        <v>0</v>
      </c>
      <c r="G485" s="506">
        <f t="shared" si="40"/>
        <v>0</v>
      </c>
      <c r="H485" s="554">
        <f>+J443*G485+E485</f>
        <v>0</v>
      </c>
      <c r="I485" s="555">
        <f>+J444*G485+E485</f>
        <v>0</v>
      </c>
      <c r="J485" s="552">
        <f t="shared" si="42"/>
        <v>0</v>
      </c>
      <c r="K485" s="552"/>
      <c r="L485" s="572"/>
      <c r="M485" s="552">
        <f t="shared" si="36"/>
        <v>0</v>
      </c>
      <c r="N485" s="572"/>
      <c r="O485" s="552">
        <f t="shared" si="37"/>
        <v>0</v>
      </c>
      <c r="P485" s="552">
        <f t="shared" si="38"/>
        <v>0</v>
      </c>
    </row>
    <row r="486" spans="3:16">
      <c r="C486" s="548">
        <f>IF(D442="","-",+C485+1)</f>
        <v>2054</v>
      </c>
      <c r="D486" s="506">
        <f t="shared" si="39"/>
        <v>0</v>
      </c>
      <c r="E486" s="549">
        <f t="shared" si="41"/>
        <v>0</v>
      </c>
      <c r="F486" s="549">
        <f t="shared" si="35"/>
        <v>0</v>
      </c>
      <c r="G486" s="506">
        <f t="shared" si="40"/>
        <v>0</v>
      </c>
      <c r="H486" s="554">
        <f>+J443*G486+E486</f>
        <v>0</v>
      </c>
      <c r="I486" s="555">
        <f>+J444*G486+E486</f>
        <v>0</v>
      </c>
      <c r="J486" s="552">
        <f t="shared" si="42"/>
        <v>0</v>
      </c>
      <c r="K486" s="552"/>
      <c r="L486" s="572"/>
      <c r="M486" s="552">
        <f t="shared" si="36"/>
        <v>0</v>
      </c>
      <c r="N486" s="572"/>
      <c r="O486" s="552">
        <f t="shared" si="37"/>
        <v>0</v>
      </c>
      <c r="P486" s="552">
        <f t="shared" si="38"/>
        <v>0</v>
      </c>
    </row>
    <row r="487" spans="3:16">
      <c r="C487" s="548">
        <f>IF(D442="","-",+C486+1)</f>
        <v>2055</v>
      </c>
      <c r="D487" s="506">
        <f t="shared" si="39"/>
        <v>0</v>
      </c>
      <c r="E487" s="549">
        <f t="shared" si="41"/>
        <v>0</v>
      </c>
      <c r="F487" s="549">
        <f t="shared" si="35"/>
        <v>0</v>
      </c>
      <c r="G487" s="506">
        <f t="shared" si="40"/>
        <v>0</v>
      </c>
      <c r="H487" s="554">
        <f>+J443*G487+E487</f>
        <v>0</v>
      </c>
      <c r="I487" s="555">
        <f>+J444*G487+E487</f>
        <v>0</v>
      </c>
      <c r="J487" s="552">
        <f t="shared" si="42"/>
        <v>0</v>
      </c>
      <c r="K487" s="552"/>
      <c r="L487" s="572"/>
      <c r="M487" s="552">
        <f t="shared" si="36"/>
        <v>0</v>
      </c>
      <c r="N487" s="572"/>
      <c r="O487" s="552">
        <f t="shared" si="37"/>
        <v>0</v>
      </c>
      <c r="P487" s="552">
        <f t="shared" si="38"/>
        <v>0</v>
      </c>
    </row>
    <row r="488" spans="3:16">
      <c r="C488" s="548">
        <f>IF(D442="","-",+C487+1)</f>
        <v>2056</v>
      </c>
      <c r="D488" s="506">
        <f t="shared" si="39"/>
        <v>0</v>
      </c>
      <c r="E488" s="549">
        <f t="shared" si="41"/>
        <v>0</v>
      </c>
      <c r="F488" s="549">
        <f t="shared" si="35"/>
        <v>0</v>
      </c>
      <c r="G488" s="506">
        <f t="shared" si="40"/>
        <v>0</v>
      </c>
      <c r="H488" s="554">
        <f>+J443*G488+E488</f>
        <v>0</v>
      </c>
      <c r="I488" s="555">
        <f>+J444*G488+E488</f>
        <v>0</v>
      </c>
      <c r="J488" s="552">
        <f t="shared" si="42"/>
        <v>0</v>
      </c>
      <c r="K488" s="552"/>
      <c r="L488" s="572"/>
      <c r="M488" s="552">
        <f t="shared" si="36"/>
        <v>0</v>
      </c>
      <c r="N488" s="572"/>
      <c r="O488" s="552">
        <f t="shared" si="37"/>
        <v>0</v>
      </c>
      <c r="P488" s="552">
        <f t="shared" si="38"/>
        <v>0</v>
      </c>
    </row>
    <row r="489" spans="3:16">
      <c r="C489" s="548">
        <f>IF(D442="","-",+C488+1)</f>
        <v>2057</v>
      </c>
      <c r="D489" s="506">
        <f t="shared" si="39"/>
        <v>0</v>
      </c>
      <c r="E489" s="549">
        <f t="shared" si="41"/>
        <v>0</v>
      </c>
      <c r="F489" s="549">
        <f t="shared" si="35"/>
        <v>0</v>
      </c>
      <c r="G489" s="506">
        <f t="shared" si="40"/>
        <v>0</v>
      </c>
      <c r="H489" s="554">
        <f>+J443*G489+E489</f>
        <v>0</v>
      </c>
      <c r="I489" s="555">
        <f>+J444*G489+E489</f>
        <v>0</v>
      </c>
      <c r="J489" s="552">
        <f t="shared" si="42"/>
        <v>0</v>
      </c>
      <c r="K489" s="552"/>
      <c r="L489" s="572"/>
      <c r="M489" s="552">
        <f t="shared" si="36"/>
        <v>0</v>
      </c>
      <c r="N489" s="572"/>
      <c r="O489" s="552">
        <f t="shared" si="37"/>
        <v>0</v>
      </c>
      <c r="P489" s="552">
        <f t="shared" si="38"/>
        <v>0</v>
      </c>
    </row>
    <row r="490" spans="3:16">
      <c r="C490" s="548">
        <f>IF(D442="","-",+C489+1)</f>
        <v>2058</v>
      </c>
      <c r="D490" s="506">
        <f t="shared" si="39"/>
        <v>0</v>
      </c>
      <c r="E490" s="549">
        <f t="shared" si="41"/>
        <v>0</v>
      </c>
      <c r="F490" s="549">
        <f t="shared" si="35"/>
        <v>0</v>
      </c>
      <c r="G490" s="506">
        <f t="shared" si="40"/>
        <v>0</v>
      </c>
      <c r="H490" s="554">
        <f>+J443*G490+E490</f>
        <v>0</v>
      </c>
      <c r="I490" s="555">
        <f>+J444*G490+E490</f>
        <v>0</v>
      </c>
      <c r="J490" s="552">
        <f t="shared" si="42"/>
        <v>0</v>
      </c>
      <c r="K490" s="552"/>
      <c r="L490" s="572"/>
      <c r="M490" s="552">
        <f t="shared" si="36"/>
        <v>0</v>
      </c>
      <c r="N490" s="572"/>
      <c r="O490" s="552">
        <f t="shared" si="37"/>
        <v>0</v>
      </c>
      <c r="P490" s="552">
        <f t="shared" si="38"/>
        <v>0</v>
      </c>
    </row>
    <row r="491" spans="3:16">
      <c r="C491" s="548">
        <f>IF(D442="","-",+C490+1)</f>
        <v>2059</v>
      </c>
      <c r="D491" s="506">
        <f t="shared" si="39"/>
        <v>0</v>
      </c>
      <c r="E491" s="549">
        <f t="shared" si="41"/>
        <v>0</v>
      </c>
      <c r="F491" s="549">
        <f t="shared" si="35"/>
        <v>0</v>
      </c>
      <c r="G491" s="506">
        <f t="shared" si="40"/>
        <v>0</v>
      </c>
      <c r="H491" s="554">
        <f>+J443*G491+E491</f>
        <v>0</v>
      </c>
      <c r="I491" s="555">
        <f>+J444*G491+E491</f>
        <v>0</v>
      </c>
      <c r="J491" s="552">
        <f t="shared" si="42"/>
        <v>0</v>
      </c>
      <c r="K491" s="552"/>
      <c r="L491" s="572"/>
      <c r="M491" s="552">
        <f t="shared" si="36"/>
        <v>0</v>
      </c>
      <c r="N491" s="572"/>
      <c r="O491" s="552">
        <f t="shared" si="37"/>
        <v>0</v>
      </c>
      <c r="P491" s="552">
        <f t="shared" si="38"/>
        <v>0</v>
      </c>
    </row>
    <row r="492" spans="3:16">
      <c r="C492" s="548">
        <f>IF(D442="","-",+C491+1)</f>
        <v>2060</v>
      </c>
      <c r="D492" s="506">
        <f t="shared" si="39"/>
        <v>0</v>
      </c>
      <c r="E492" s="549">
        <f t="shared" si="41"/>
        <v>0</v>
      </c>
      <c r="F492" s="549">
        <f t="shared" si="35"/>
        <v>0</v>
      </c>
      <c r="G492" s="506">
        <f t="shared" si="40"/>
        <v>0</v>
      </c>
      <c r="H492" s="554">
        <f>+J443*G492+E492</f>
        <v>0</v>
      </c>
      <c r="I492" s="555">
        <f>+J444*G492+E492</f>
        <v>0</v>
      </c>
      <c r="J492" s="552">
        <f t="shared" si="42"/>
        <v>0</v>
      </c>
      <c r="K492" s="552"/>
      <c r="L492" s="572"/>
      <c r="M492" s="552">
        <f t="shared" si="36"/>
        <v>0</v>
      </c>
      <c r="N492" s="572"/>
      <c r="O492" s="552">
        <f t="shared" si="37"/>
        <v>0</v>
      </c>
      <c r="P492" s="552">
        <f t="shared" si="38"/>
        <v>0</v>
      </c>
    </row>
    <row r="493" spans="3:16">
      <c r="C493" s="548">
        <f>IF(D442="","-",+C492+1)</f>
        <v>2061</v>
      </c>
      <c r="D493" s="506">
        <f t="shared" si="39"/>
        <v>0</v>
      </c>
      <c r="E493" s="549">
        <f t="shared" si="41"/>
        <v>0</v>
      </c>
      <c r="F493" s="549">
        <f t="shared" si="35"/>
        <v>0</v>
      </c>
      <c r="G493" s="506">
        <f t="shared" si="40"/>
        <v>0</v>
      </c>
      <c r="H493" s="554">
        <f>+J443*G493+E493</f>
        <v>0</v>
      </c>
      <c r="I493" s="555">
        <f>+J444*G493+E493</f>
        <v>0</v>
      </c>
      <c r="J493" s="552">
        <f t="shared" si="42"/>
        <v>0</v>
      </c>
      <c r="K493" s="552"/>
      <c r="L493" s="572"/>
      <c r="M493" s="552">
        <f t="shared" si="36"/>
        <v>0</v>
      </c>
      <c r="N493" s="572"/>
      <c r="O493" s="552">
        <f t="shared" si="37"/>
        <v>0</v>
      </c>
      <c r="P493" s="552">
        <f t="shared" si="38"/>
        <v>0</v>
      </c>
    </row>
    <row r="494" spans="3:16">
      <c r="C494" s="548">
        <f>IF(D442="","-",+C493+1)</f>
        <v>2062</v>
      </c>
      <c r="D494" s="506">
        <f t="shared" si="39"/>
        <v>0</v>
      </c>
      <c r="E494" s="549">
        <f t="shared" si="41"/>
        <v>0</v>
      </c>
      <c r="F494" s="549">
        <f t="shared" si="35"/>
        <v>0</v>
      </c>
      <c r="G494" s="506">
        <f t="shared" si="40"/>
        <v>0</v>
      </c>
      <c r="H494" s="554">
        <f>+J443*G494+E494</f>
        <v>0</v>
      </c>
      <c r="I494" s="555">
        <f>+J444*G494+E494</f>
        <v>0</v>
      </c>
      <c r="J494" s="552">
        <f t="shared" si="42"/>
        <v>0</v>
      </c>
      <c r="K494" s="552"/>
      <c r="L494" s="572"/>
      <c r="M494" s="552">
        <f t="shared" si="36"/>
        <v>0</v>
      </c>
      <c r="N494" s="572"/>
      <c r="O494" s="552">
        <f t="shared" si="37"/>
        <v>0</v>
      </c>
      <c r="P494" s="552">
        <f t="shared" si="38"/>
        <v>0</v>
      </c>
    </row>
    <row r="495" spans="3:16">
      <c r="C495" s="548">
        <f>IF(D442="","-",+C494+1)</f>
        <v>2063</v>
      </c>
      <c r="D495" s="506">
        <f t="shared" si="39"/>
        <v>0</v>
      </c>
      <c r="E495" s="549">
        <f t="shared" si="41"/>
        <v>0</v>
      </c>
      <c r="F495" s="549">
        <f t="shared" si="35"/>
        <v>0</v>
      </c>
      <c r="G495" s="506">
        <f t="shared" si="40"/>
        <v>0</v>
      </c>
      <c r="H495" s="554">
        <f>+J443*G495+E495</f>
        <v>0</v>
      </c>
      <c r="I495" s="555">
        <f>+J444*G495+E495</f>
        <v>0</v>
      </c>
      <c r="J495" s="552">
        <f t="shared" si="42"/>
        <v>0</v>
      </c>
      <c r="K495" s="552"/>
      <c r="L495" s="572"/>
      <c r="M495" s="552">
        <f t="shared" si="36"/>
        <v>0</v>
      </c>
      <c r="N495" s="572"/>
      <c r="O495" s="552">
        <f t="shared" si="37"/>
        <v>0</v>
      </c>
      <c r="P495" s="552">
        <f t="shared" si="38"/>
        <v>0</v>
      </c>
    </row>
    <row r="496" spans="3:16">
      <c r="C496" s="548">
        <f>IF(D442="","-",+C495+1)</f>
        <v>2064</v>
      </c>
      <c r="D496" s="506">
        <f t="shared" si="39"/>
        <v>0</v>
      </c>
      <c r="E496" s="549">
        <f t="shared" si="41"/>
        <v>0</v>
      </c>
      <c r="F496" s="549">
        <f t="shared" si="35"/>
        <v>0</v>
      </c>
      <c r="G496" s="506">
        <f t="shared" si="40"/>
        <v>0</v>
      </c>
      <c r="H496" s="554">
        <f>+J443*G496+E496</f>
        <v>0</v>
      </c>
      <c r="I496" s="555">
        <f>+J444*G496+E496</f>
        <v>0</v>
      </c>
      <c r="J496" s="552">
        <f t="shared" si="42"/>
        <v>0</v>
      </c>
      <c r="K496" s="552"/>
      <c r="L496" s="572"/>
      <c r="M496" s="552">
        <f t="shared" si="36"/>
        <v>0</v>
      </c>
      <c r="N496" s="572"/>
      <c r="O496" s="552">
        <f t="shared" si="37"/>
        <v>0</v>
      </c>
      <c r="P496" s="552">
        <f t="shared" si="38"/>
        <v>0</v>
      </c>
    </row>
    <row r="497" spans="3:16">
      <c r="C497" s="548">
        <f>IF(D442="","-",+C496+1)</f>
        <v>2065</v>
      </c>
      <c r="D497" s="506">
        <f t="shared" si="39"/>
        <v>0</v>
      </c>
      <c r="E497" s="549">
        <f t="shared" si="41"/>
        <v>0</v>
      </c>
      <c r="F497" s="549">
        <f t="shared" si="35"/>
        <v>0</v>
      </c>
      <c r="G497" s="506">
        <f t="shared" si="40"/>
        <v>0</v>
      </c>
      <c r="H497" s="554">
        <f>+J443*G497+E497</f>
        <v>0</v>
      </c>
      <c r="I497" s="555">
        <f>+J444*G497+E497</f>
        <v>0</v>
      </c>
      <c r="J497" s="552">
        <f t="shared" si="42"/>
        <v>0</v>
      </c>
      <c r="K497" s="552"/>
      <c r="L497" s="572"/>
      <c r="M497" s="552">
        <f t="shared" si="36"/>
        <v>0</v>
      </c>
      <c r="N497" s="572"/>
      <c r="O497" s="552">
        <f t="shared" si="37"/>
        <v>0</v>
      </c>
      <c r="P497" s="552">
        <f t="shared" si="38"/>
        <v>0</v>
      </c>
    </row>
    <row r="498" spans="3:16">
      <c r="C498" s="548">
        <f>IF(D442="","-",+C497+1)</f>
        <v>2066</v>
      </c>
      <c r="D498" s="506">
        <f t="shared" si="39"/>
        <v>0</v>
      </c>
      <c r="E498" s="549">
        <f t="shared" si="41"/>
        <v>0</v>
      </c>
      <c r="F498" s="549">
        <f t="shared" si="35"/>
        <v>0</v>
      </c>
      <c r="G498" s="506">
        <f t="shared" si="40"/>
        <v>0</v>
      </c>
      <c r="H498" s="554">
        <f>+J443*G498+E498</f>
        <v>0</v>
      </c>
      <c r="I498" s="555">
        <f>+J444*G498+E498</f>
        <v>0</v>
      </c>
      <c r="J498" s="552">
        <f t="shared" si="42"/>
        <v>0</v>
      </c>
      <c r="K498" s="552"/>
      <c r="L498" s="572"/>
      <c r="M498" s="552">
        <f t="shared" si="36"/>
        <v>0</v>
      </c>
      <c r="N498" s="572"/>
      <c r="O498" s="552">
        <f t="shared" si="37"/>
        <v>0</v>
      </c>
      <c r="P498" s="552">
        <f t="shared" si="38"/>
        <v>0</v>
      </c>
    </row>
    <row r="499" spans="3:16">
      <c r="C499" s="548">
        <f>IF(D442="","-",+C498+1)</f>
        <v>2067</v>
      </c>
      <c r="D499" s="506">
        <f t="shared" si="39"/>
        <v>0</v>
      </c>
      <c r="E499" s="549">
        <f t="shared" si="41"/>
        <v>0</v>
      </c>
      <c r="F499" s="549">
        <f t="shared" si="35"/>
        <v>0</v>
      </c>
      <c r="G499" s="506">
        <f t="shared" si="40"/>
        <v>0</v>
      </c>
      <c r="H499" s="554">
        <f>+J443*G499+E499</f>
        <v>0</v>
      </c>
      <c r="I499" s="555">
        <f>+J444*G499+E499</f>
        <v>0</v>
      </c>
      <c r="J499" s="552">
        <f t="shared" si="42"/>
        <v>0</v>
      </c>
      <c r="K499" s="552"/>
      <c r="L499" s="572"/>
      <c r="M499" s="552">
        <f t="shared" si="36"/>
        <v>0</v>
      </c>
      <c r="N499" s="572"/>
      <c r="O499" s="552">
        <f t="shared" si="37"/>
        <v>0</v>
      </c>
      <c r="P499" s="552">
        <f t="shared" si="38"/>
        <v>0</v>
      </c>
    </row>
    <row r="500" spans="3:16">
      <c r="C500" s="548">
        <f>IF(D442="","-",+C499+1)</f>
        <v>2068</v>
      </c>
      <c r="D500" s="506">
        <f t="shared" si="39"/>
        <v>0</v>
      </c>
      <c r="E500" s="549">
        <f t="shared" si="41"/>
        <v>0</v>
      </c>
      <c r="F500" s="549">
        <f t="shared" si="35"/>
        <v>0</v>
      </c>
      <c r="G500" s="506">
        <f t="shared" si="40"/>
        <v>0</v>
      </c>
      <c r="H500" s="554">
        <f>+J443*G500+E500</f>
        <v>0</v>
      </c>
      <c r="I500" s="555">
        <f>+J444*G500+E500</f>
        <v>0</v>
      </c>
      <c r="J500" s="552">
        <f t="shared" si="42"/>
        <v>0</v>
      </c>
      <c r="K500" s="552"/>
      <c r="L500" s="572"/>
      <c r="M500" s="552">
        <f t="shared" si="36"/>
        <v>0</v>
      </c>
      <c r="N500" s="572"/>
      <c r="O500" s="552">
        <f t="shared" si="37"/>
        <v>0</v>
      </c>
      <c r="P500" s="552">
        <f t="shared" si="38"/>
        <v>0</v>
      </c>
    </row>
    <row r="501" spans="3:16">
      <c r="C501" s="548">
        <f>IF(D442="","-",+C500+1)</f>
        <v>2069</v>
      </c>
      <c r="D501" s="506">
        <f t="shared" si="39"/>
        <v>0</v>
      </c>
      <c r="E501" s="549">
        <f t="shared" si="41"/>
        <v>0</v>
      </c>
      <c r="F501" s="549">
        <f t="shared" si="35"/>
        <v>0</v>
      </c>
      <c r="G501" s="506">
        <f t="shared" si="40"/>
        <v>0</v>
      </c>
      <c r="H501" s="554">
        <f>+J443*G501+E501</f>
        <v>0</v>
      </c>
      <c r="I501" s="555">
        <f>+J444*G501+E501</f>
        <v>0</v>
      </c>
      <c r="J501" s="552">
        <f t="shared" si="42"/>
        <v>0</v>
      </c>
      <c r="K501" s="552"/>
      <c r="L501" s="572"/>
      <c r="M501" s="552">
        <f t="shared" si="36"/>
        <v>0</v>
      </c>
      <c r="N501" s="572"/>
      <c r="O501" s="552">
        <f t="shared" si="37"/>
        <v>0</v>
      </c>
      <c r="P501" s="552">
        <f t="shared" si="38"/>
        <v>0</v>
      </c>
    </row>
    <row r="502" spans="3:16">
      <c r="C502" s="548">
        <f>IF(D442="","-",+C501+1)</f>
        <v>2070</v>
      </c>
      <c r="D502" s="506">
        <f t="shared" ref="D502:D507" si="43">F501</f>
        <v>0</v>
      </c>
      <c r="E502" s="549">
        <f t="shared" si="41"/>
        <v>0</v>
      </c>
      <c r="F502" s="549">
        <f t="shared" si="35"/>
        <v>0</v>
      </c>
      <c r="G502" s="506">
        <f t="shared" si="40"/>
        <v>0</v>
      </c>
      <c r="H502" s="554">
        <f>+J443*G502+E502</f>
        <v>0</v>
      </c>
      <c r="I502" s="555">
        <f>+J444*G502+E502</f>
        <v>0</v>
      </c>
      <c r="J502" s="552">
        <f t="shared" si="42"/>
        <v>0</v>
      </c>
      <c r="K502" s="552"/>
      <c r="L502" s="572"/>
      <c r="M502" s="552">
        <f t="shared" si="36"/>
        <v>0</v>
      </c>
      <c r="N502" s="572"/>
      <c r="O502" s="552">
        <f t="shared" si="37"/>
        <v>0</v>
      </c>
      <c r="P502" s="552">
        <f t="shared" si="38"/>
        <v>0</v>
      </c>
    </row>
    <row r="503" spans="3:16">
      <c r="C503" s="548">
        <f>IF(D442="","-",+C502+1)</f>
        <v>2071</v>
      </c>
      <c r="D503" s="506">
        <f t="shared" si="43"/>
        <v>0</v>
      </c>
      <c r="E503" s="549">
        <f t="shared" si="41"/>
        <v>0</v>
      </c>
      <c r="F503" s="549">
        <f t="shared" si="35"/>
        <v>0</v>
      </c>
      <c r="G503" s="506">
        <f t="shared" si="40"/>
        <v>0</v>
      </c>
      <c r="H503" s="554">
        <f>+J443*G503+E503</f>
        <v>0</v>
      </c>
      <c r="I503" s="555">
        <f>+J444*G503+E503</f>
        <v>0</v>
      </c>
      <c r="J503" s="552">
        <f t="shared" si="42"/>
        <v>0</v>
      </c>
      <c r="K503" s="552"/>
      <c r="L503" s="572"/>
      <c r="M503" s="552">
        <f t="shared" si="36"/>
        <v>0</v>
      </c>
      <c r="N503" s="572"/>
      <c r="O503" s="552">
        <f t="shared" si="37"/>
        <v>0</v>
      </c>
      <c r="P503" s="552">
        <f t="shared" si="38"/>
        <v>0</v>
      </c>
    </row>
    <row r="504" spans="3:16">
      <c r="C504" s="548">
        <f>IF(D442="","-",+C503+1)</f>
        <v>2072</v>
      </c>
      <c r="D504" s="506">
        <f t="shared" si="43"/>
        <v>0</v>
      </c>
      <c r="E504" s="549">
        <f t="shared" si="41"/>
        <v>0</v>
      </c>
      <c r="F504" s="549">
        <f t="shared" si="35"/>
        <v>0</v>
      </c>
      <c r="G504" s="506">
        <f t="shared" si="40"/>
        <v>0</v>
      </c>
      <c r="H504" s="554">
        <f>+J443*G504+E504</f>
        <v>0</v>
      </c>
      <c r="I504" s="555">
        <f>+J444*G504+E504</f>
        <v>0</v>
      </c>
      <c r="J504" s="552">
        <f t="shared" si="42"/>
        <v>0</v>
      </c>
      <c r="K504" s="552"/>
      <c r="L504" s="572"/>
      <c r="M504" s="552">
        <f t="shared" si="36"/>
        <v>0</v>
      </c>
      <c r="N504" s="572"/>
      <c r="O504" s="552">
        <f t="shared" si="37"/>
        <v>0</v>
      </c>
      <c r="P504" s="552">
        <f t="shared" si="38"/>
        <v>0</v>
      </c>
    </row>
    <row r="505" spans="3:16">
      <c r="C505" s="548">
        <f>IF(D442="","-",+C504+1)</f>
        <v>2073</v>
      </c>
      <c r="D505" s="506">
        <f t="shared" si="43"/>
        <v>0</v>
      </c>
      <c r="E505" s="549">
        <f t="shared" si="41"/>
        <v>0</v>
      </c>
      <c r="F505" s="549">
        <f t="shared" si="35"/>
        <v>0</v>
      </c>
      <c r="G505" s="506">
        <f t="shared" si="40"/>
        <v>0</v>
      </c>
      <c r="H505" s="554">
        <f>+J443*G505+E505</f>
        <v>0</v>
      </c>
      <c r="I505" s="555">
        <f>+J444*G505+E505</f>
        <v>0</v>
      </c>
      <c r="J505" s="552">
        <f t="shared" si="42"/>
        <v>0</v>
      </c>
      <c r="K505" s="552"/>
      <c r="L505" s="572"/>
      <c r="M505" s="552">
        <f t="shared" si="36"/>
        <v>0</v>
      </c>
      <c r="N505" s="572"/>
      <c r="O505" s="552">
        <f t="shared" si="37"/>
        <v>0</v>
      </c>
      <c r="P505" s="552">
        <f t="shared" si="38"/>
        <v>0</v>
      </c>
    </row>
    <row r="506" spans="3:16">
      <c r="C506" s="548">
        <f>IF(D442="","-",+C505+1)</f>
        <v>2074</v>
      </c>
      <c r="D506" s="506">
        <f t="shared" si="43"/>
        <v>0</v>
      </c>
      <c r="E506" s="549">
        <f t="shared" si="41"/>
        <v>0</v>
      </c>
      <c r="F506" s="549">
        <f t="shared" si="35"/>
        <v>0</v>
      </c>
      <c r="G506" s="506">
        <f t="shared" si="40"/>
        <v>0</v>
      </c>
      <c r="H506" s="554">
        <f>+J443*G506+E506</f>
        <v>0</v>
      </c>
      <c r="I506" s="555">
        <f>+J444*G506+E506</f>
        <v>0</v>
      </c>
      <c r="J506" s="552">
        <f t="shared" si="42"/>
        <v>0</v>
      </c>
      <c r="K506" s="552"/>
      <c r="L506" s="572"/>
      <c r="M506" s="552">
        <f t="shared" si="36"/>
        <v>0</v>
      </c>
      <c r="N506" s="572"/>
      <c r="O506" s="552">
        <f t="shared" si="37"/>
        <v>0</v>
      </c>
      <c r="P506" s="552">
        <f t="shared" si="38"/>
        <v>0</v>
      </c>
    </row>
    <row r="507" spans="3:16" ht="13.5" thickBot="1">
      <c r="C507" s="558">
        <f>IF(D442="","-",+C506+1)</f>
        <v>2075</v>
      </c>
      <c r="D507" s="559">
        <f t="shared" si="43"/>
        <v>0</v>
      </c>
      <c r="E507" s="560">
        <f t="shared" si="41"/>
        <v>0</v>
      </c>
      <c r="F507" s="560">
        <f t="shared" si="35"/>
        <v>0</v>
      </c>
      <c r="G507" s="559">
        <f t="shared" si="40"/>
        <v>0</v>
      </c>
      <c r="H507" s="561">
        <f>+J443*G507+E507</f>
        <v>0</v>
      </c>
      <c r="I507" s="561">
        <f>+J444*G507+E507</f>
        <v>0</v>
      </c>
      <c r="J507" s="562">
        <f t="shared" si="42"/>
        <v>0</v>
      </c>
      <c r="K507" s="552"/>
      <c r="L507" s="573"/>
      <c r="M507" s="562">
        <f t="shared" si="36"/>
        <v>0</v>
      </c>
      <c r="N507" s="573"/>
      <c r="O507" s="562">
        <f t="shared" si="37"/>
        <v>0</v>
      </c>
      <c r="P507" s="562">
        <f t="shared" si="38"/>
        <v>0</v>
      </c>
    </row>
    <row r="508" spans="3:16">
      <c r="C508" s="506" t="s">
        <v>91</v>
      </c>
      <c r="D508" s="503"/>
      <c r="E508" s="503">
        <f>SUM(E448:E507)</f>
        <v>99133366.299999997</v>
      </c>
      <c r="F508" s="503"/>
      <c r="G508" s="503"/>
      <c r="H508" s="503">
        <f>SUM(H448:H507)</f>
        <v>301468741.45523387</v>
      </c>
      <c r="I508" s="503">
        <f>SUM(I448:I507)</f>
        <v>301468741.45523387</v>
      </c>
      <c r="J508" s="503">
        <f>SUM(J448:J507)</f>
        <v>0</v>
      </c>
      <c r="K508" s="503"/>
      <c r="L508" s="503"/>
      <c r="M508" s="503"/>
      <c r="N508" s="503"/>
      <c r="O508" s="503"/>
    </row>
    <row r="509" spans="3:16">
      <c r="D509" s="47"/>
      <c r="E509" s="3"/>
      <c r="F509" s="3"/>
      <c r="G509" s="3"/>
      <c r="H509" s="3"/>
      <c r="I509" s="490"/>
      <c r="J509" s="490"/>
      <c r="K509" s="503"/>
      <c r="L509" s="490"/>
      <c r="M509" s="490"/>
      <c r="N509" s="490"/>
      <c r="O509" s="490"/>
    </row>
    <row r="510" spans="3:16">
      <c r="C510" s="3" t="s">
        <v>13</v>
      </c>
      <c r="D510" s="47"/>
      <c r="E510" s="3"/>
      <c r="F510" s="3"/>
      <c r="G510" s="3"/>
      <c r="H510" s="3"/>
      <c r="I510" s="490"/>
      <c r="J510" s="490"/>
      <c r="K510" s="503"/>
      <c r="L510" s="490"/>
      <c r="M510" s="490"/>
      <c r="N510" s="490"/>
      <c r="O510" s="490"/>
    </row>
    <row r="511" spans="3:16">
      <c r="C511" s="3"/>
      <c r="D511" s="47"/>
      <c r="E511" s="3"/>
      <c r="F511" s="3"/>
      <c r="G511" s="3"/>
      <c r="H511" s="3"/>
      <c r="I511" s="490"/>
      <c r="J511" s="490"/>
      <c r="K511" s="503"/>
      <c r="L511" s="490"/>
      <c r="M511" s="490"/>
      <c r="N511" s="490"/>
      <c r="O511" s="490"/>
    </row>
    <row r="512" spans="3:16">
      <c r="C512" s="518" t="s">
        <v>14</v>
      </c>
      <c r="D512" s="506"/>
      <c r="E512" s="506"/>
      <c r="F512" s="506"/>
      <c r="G512" s="506"/>
      <c r="H512" s="503"/>
      <c r="I512" s="503"/>
      <c r="J512" s="564"/>
      <c r="K512" s="564"/>
      <c r="L512" s="564"/>
      <c r="M512" s="564"/>
      <c r="N512" s="564"/>
      <c r="O512" s="564"/>
    </row>
    <row r="513" spans="1:17">
      <c r="C513" s="507" t="s">
        <v>271</v>
      </c>
      <c r="D513" s="506"/>
      <c r="E513" s="506"/>
      <c r="F513" s="506"/>
      <c r="G513" s="506"/>
      <c r="H513" s="503"/>
      <c r="I513" s="503"/>
      <c r="J513" s="564"/>
      <c r="K513" s="564"/>
      <c r="L513" s="564"/>
      <c r="M513" s="564"/>
      <c r="N513" s="564"/>
      <c r="O513" s="564"/>
    </row>
    <row r="514" spans="1:17">
      <c r="C514" s="507" t="s">
        <v>92</v>
      </c>
      <c r="D514" s="506"/>
      <c r="E514" s="506"/>
      <c r="F514" s="506"/>
      <c r="G514" s="506"/>
      <c r="H514" s="503"/>
      <c r="I514" s="503"/>
      <c r="J514" s="564"/>
      <c r="K514" s="564"/>
      <c r="L514" s="564"/>
      <c r="M514" s="564"/>
      <c r="N514" s="564"/>
      <c r="O514" s="564"/>
    </row>
    <row r="516" spans="1:17" ht="20.25">
      <c r="A516" s="447" t="str">
        <f>""&amp;A438&amp;" Worksheet K -  ATRR TRUE-UP Calculation for PJM Projects Charged to Benefiting Zones"</f>
        <v xml:space="preserve"> Worksheet K -  ATRR TRUE-UP Calculation for PJM Projects Charged to Benefiting Zones</v>
      </c>
      <c r="B516" s="3"/>
      <c r="C516" s="3"/>
      <c r="D516" s="47"/>
      <c r="E516" s="3"/>
      <c r="F516" s="489"/>
      <c r="G516" s="489"/>
      <c r="H516" s="3"/>
      <c r="I516" s="490"/>
      <c r="L516" s="398"/>
      <c r="M516" s="398"/>
      <c r="N516" s="398"/>
      <c r="O516" s="398" t="str">
        <f>"Page "&amp;SUM(Q$8:Q516)&amp;" of "</f>
        <v xml:space="preserve">Page 6 of </v>
      </c>
      <c r="P516" s="448">
        <f>COUNT(Q$8:Q$56657)</f>
        <v>10</v>
      </c>
      <c r="Q516">
        <v>1</v>
      </c>
    </row>
    <row r="517" spans="1:17">
      <c r="B517" s="3"/>
      <c r="C517" s="3"/>
      <c r="D517" s="47"/>
      <c r="E517" s="3"/>
      <c r="F517" s="3"/>
      <c r="G517" s="3"/>
      <c r="H517" s="3"/>
      <c r="I517" s="490"/>
      <c r="J517" s="3"/>
      <c r="K517" s="3"/>
    </row>
    <row r="518" spans="1:17" ht="18">
      <c r="B518" s="449" t="s">
        <v>472</v>
      </c>
      <c r="C518" s="122" t="s">
        <v>93</v>
      </c>
      <c r="D518" s="47"/>
      <c r="E518" s="3"/>
      <c r="F518" s="3"/>
      <c r="G518" s="3"/>
      <c r="H518" s="3"/>
      <c r="I518" s="490"/>
      <c r="J518" s="490"/>
      <c r="K518" s="503"/>
      <c r="L518" s="490"/>
      <c r="M518" s="490"/>
      <c r="N518" s="490"/>
      <c r="O518" s="490"/>
    </row>
    <row r="519" spans="1:17" ht="18.75">
      <c r="B519" s="449"/>
      <c r="C519" s="6"/>
      <c r="D519" s="47"/>
      <c r="E519" s="3"/>
      <c r="F519" s="3"/>
      <c r="G519" s="3"/>
      <c r="H519" s="3"/>
      <c r="I519" s="490"/>
      <c r="J519" s="490"/>
      <c r="K519" s="503"/>
      <c r="L519" s="490"/>
      <c r="M519" s="490"/>
      <c r="N519" s="490"/>
      <c r="O519" s="490"/>
    </row>
    <row r="520" spans="1:17" ht="18.75">
      <c r="B520" s="449"/>
      <c r="C520" s="6" t="s">
        <v>94</v>
      </c>
      <c r="D520" s="47"/>
      <c r="E520" s="3"/>
      <c r="F520" s="3"/>
      <c r="G520" s="3"/>
      <c r="H520" s="3"/>
      <c r="I520" s="490"/>
      <c r="J520" s="490"/>
      <c r="K520" s="503"/>
      <c r="L520" s="490"/>
      <c r="M520" s="490"/>
      <c r="N520" s="490"/>
      <c r="O520" s="490"/>
    </row>
    <row r="521" spans="1:17" ht="15.75" thickBot="1">
      <c r="C521" s="132"/>
      <c r="D521" s="47"/>
      <c r="E521" s="3"/>
      <c r="F521" s="3"/>
      <c r="G521" s="3"/>
      <c r="H521" s="3"/>
      <c r="I521" s="490"/>
      <c r="J521" s="490"/>
      <c r="K521" s="503"/>
      <c r="L521" s="490"/>
      <c r="M521" s="490"/>
      <c r="N521" s="490"/>
      <c r="O521" s="490"/>
    </row>
    <row r="522" spans="1:17" ht="15.75">
      <c r="C522" s="451" t="s">
        <v>95</v>
      </c>
      <c r="D522" s="47"/>
      <c r="E522" s="3"/>
      <c r="F522" s="3"/>
      <c r="G522" s="3"/>
      <c r="H522" s="566"/>
      <c r="I522" s="3" t="s">
        <v>74</v>
      </c>
      <c r="J522" s="3"/>
      <c r="K522" s="3"/>
      <c r="L522" s="593">
        <f>+J528</f>
        <v>2025</v>
      </c>
      <c r="M522" s="576" t="s">
        <v>52</v>
      </c>
      <c r="N522" s="576" t="s">
        <v>53</v>
      </c>
      <c r="O522" s="577" t="s">
        <v>55</v>
      </c>
    </row>
    <row r="523" spans="1:17" ht="15.75">
      <c r="C523" s="451"/>
      <c r="D523" s="47"/>
      <c r="E523" s="3"/>
      <c r="F523" s="3"/>
      <c r="H523" s="3"/>
      <c r="I523" s="513"/>
      <c r="J523" s="513"/>
      <c r="K523" s="514"/>
      <c r="L523" s="594" t="s">
        <v>243</v>
      </c>
      <c r="M523" s="595">
        <f>VLOOKUP(J528,C535:P594,10)</f>
        <v>6034650.3718772018</v>
      </c>
      <c r="N523" s="595">
        <f>VLOOKUP(J528,C535:P594,12)</f>
        <v>6034650.3718772018</v>
      </c>
      <c r="O523" s="596">
        <f>+N523-M523</f>
        <v>0</v>
      </c>
    </row>
    <row r="524" spans="1:17" ht="12.95" customHeight="1">
      <c r="C524" s="518" t="s">
        <v>96</v>
      </c>
      <c r="D524" s="1210" t="s">
        <v>820</v>
      </c>
      <c r="E524" s="1210"/>
      <c r="F524" s="1210"/>
      <c r="G524" s="1210"/>
      <c r="H524" s="1210"/>
      <c r="I524" s="1210"/>
      <c r="J524" s="490"/>
      <c r="K524" s="503"/>
      <c r="L524" s="594" t="s">
        <v>244</v>
      </c>
      <c r="M524" s="597">
        <f>VLOOKUP(J528,C535:P594,6)</f>
        <v>5851248.9304371541</v>
      </c>
      <c r="N524" s="597">
        <f>VLOOKUP(J528,C535:P594,7)</f>
        <v>5851248.9304371541</v>
      </c>
      <c r="O524" s="598">
        <f>+N524-M524</f>
        <v>0</v>
      </c>
    </row>
    <row r="525" spans="1:17" ht="13.5" thickBot="1">
      <c r="C525" s="522"/>
      <c r="D525" s="1210"/>
      <c r="E525" s="1210"/>
      <c r="F525" s="1210"/>
      <c r="G525" s="1210"/>
      <c r="H525" s="1210"/>
      <c r="I525" s="1210"/>
      <c r="J525" s="490"/>
      <c r="K525" s="503"/>
      <c r="L525" s="533" t="s">
        <v>245</v>
      </c>
      <c r="M525" s="599">
        <f>+M524-M523</f>
        <v>-183401.4414400477</v>
      </c>
      <c r="N525" s="599">
        <f>+N524-N523</f>
        <v>-183401.4414400477</v>
      </c>
      <c r="O525" s="600">
        <f>+O524-O523</f>
        <v>0</v>
      </c>
    </row>
    <row r="526" spans="1:17" ht="13.5" thickBot="1">
      <c r="C526" s="522"/>
      <c r="D526" s="3"/>
      <c r="E526" s="524"/>
      <c r="F526" s="524"/>
      <c r="G526" s="524"/>
      <c r="H526" s="524"/>
      <c r="I526" s="524"/>
      <c r="J526" s="524"/>
      <c r="K526" s="524"/>
      <c r="L526" s="524"/>
      <c r="M526" s="524"/>
      <c r="N526" s="524"/>
      <c r="O526" s="524"/>
    </row>
    <row r="527" spans="1:17" ht="13.5" thickBot="1">
      <c r="C527" s="525" t="s">
        <v>97</v>
      </c>
      <c r="D527" s="526"/>
      <c r="E527" s="526"/>
      <c r="F527" s="526"/>
      <c r="G527" s="526"/>
      <c r="H527" s="526"/>
      <c r="I527" s="526"/>
      <c r="J527" s="526"/>
    </row>
    <row r="528" spans="1:17" ht="15">
      <c r="A528" s="978"/>
      <c r="C528" s="528" t="s">
        <v>75</v>
      </c>
      <c r="D528" s="568">
        <v>52217631.810000002</v>
      </c>
      <c r="E528" s="3" t="s">
        <v>76</v>
      </c>
      <c r="H528" s="47"/>
      <c r="I528" s="47"/>
      <c r="J528" s="529">
        <f>$J$93</f>
        <v>2025</v>
      </c>
      <c r="K528" s="70"/>
      <c r="L528" s="1211" t="s">
        <v>77</v>
      </c>
      <c r="M528" s="1211"/>
      <c r="N528" s="1211"/>
      <c r="O528" s="1211"/>
    </row>
    <row r="529" spans="2:16">
      <c r="C529" s="528" t="s">
        <v>78</v>
      </c>
      <c r="D529" s="569">
        <v>2016</v>
      </c>
      <c r="E529" s="528" t="s">
        <v>79</v>
      </c>
      <c r="F529" s="47"/>
      <c r="G529" s="47"/>
      <c r="I529"/>
      <c r="J529" s="570">
        <f>IF(H522="",0,$F$17)</f>
        <v>0</v>
      </c>
      <c r="K529" s="530"/>
      <c r="L529" s="503" t="s">
        <v>285</v>
      </c>
    </row>
    <row r="530" spans="2:16">
      <c r="C530" s="528" t="s">
        <v>80</v>
      </c>
      <c r="D530" s="568">
        <v>12</v>
      </c>
      <c r="E530" s="528" t="s">
        <v>81</v>
      </c>
      <c r="F530" s="47"/>
      <c r="G530" s="47"/>
      <c r="I530"/>
      <c r="J530" s="531">
        <f>$F$70</f>
        <v>0.11032660055737779</v>
      </c>
      <c r="K530" s="489"/>
      <c r="L530" s="3" t="str">
        <f>"          INPUT TRUE-UP ARR (WITH &amp; WITHOUT INCENTIVES) FROM EACH PRIOR YEAR"</f>
        <v xml:space="preserve">          INPUT TRUE-UP ARR (WITH &amp; WITHOUT INCENTIVES) FROM EACH PRIOR YEAR</v>
      </c>
    </row>
    <row r="531" spans="2:16">
      <c r="C531" s="528" t="s">
        <v>82</v>
      </c>
      <c r="D531" s="532">
        <f>H$79</f>
        <v>36</v>
      </c>
      <c r="E531" s="528" t="s">
        <v>83</v>
      </c>
      <c r="F531" s="47"/>
      <c r="G531" s="47"/>
      <c r="I531"/>
      <c r="J531" s="531">
        <f>IF(H522="",+J530,$F$69)</f>
        <v>0.11032660055737779</v>
      </c>
      <c r="K531" s="489"/>
      <c r="L531" s="3" t="s">
        <v>165</v>
      </c>
      <c r="M531" s="489"/>
      <c r="N531" s="489"/>
      <c r="O531" s="489"/>
    </row>
    <row r="532" spans="2:16" ht="13.5" thickBot="1">
      <c r="C532" s="528" t="s">
        <v>84</v>
      </c>
      <c r="D532" s="969" t="s">
        <v>812</v>
      </c>
      <c r="E532" s="533" t="s">
        <v>85</v>
      </c>
      <c r="F532" s="534"/>
      <c r="G532" s="534"/>
      <c r="H532" s="535"/>
      <c r="I532" s="535"/>
      <c r="J532" s="521">
        <f>IF(D528=0,0,D528/D531)</f>
        <v>1450489.7725</v>
      </c>
      <c r="K532" s="503"/>
      <c r="L532" s="503" t="s">
        <v>166</v>
      </c>
      <c r="M532" s="503"/>
      <c r="N532" s="503"/>
      <c r="O532" s="503"/>
    </row>
    <row r="533" spans="2:16" ht="38.25">
      <c r="B533" s="450"/>
      <c r="C533" s="536" t="s">
        <v>75</v>
      </c>
      <c r="D533" s="537" t="s">
        <v>86</v>
      </c>
      <c r="E533" s="538" t="s">
        <v>87</v>
      </c>
      <c r="F533" s="537" t="s">
        <v>88</v>
      </c>
      <c r="G533" s="537" t="s">
        <v>246</v>
      </c>
      <c r="H533" s="538" t="s">
        <v>159</v>
      </c>
      <c r="I533" s="539" t="s">
        <v>159</v>
      </c>
      <c r="J533" s="536" t="s">
        <v>98</v>
      </c>
      <c r="K533" s="540"/>
      <c r="L533" s="538" t="s">
        <v>161</v>
      </c>
      <c r="M533" s="538" t="s">
        <v>167</v>
      </c>
      <c r="N533" s="538" t="s">
        <v>161</v>
      </c>
      <c r="O533" s="538" t="s">
        <v>169</v>
      </c>
      <c r="P533" s="538" t="s">
        <v>89</v>
      </c>
    </row>
    <row r="534" spans="2:16" ht="13.5" thickBot="1">
      <c r="C534" s="542" t="s">
        <v>475</v>
      </c>
      <c r="D534" s="543" t="s">
        <v>476</v>
      </c>
      <c r="E534" s="542" t="s">
        <v>369</v>
      </c>
      <c r="F534" s="543" t="s">
        <v>476</v>
      </c>
      <c r="G534" s="543" t="s">
        <v>476</v>
      </c>
      <c r="H534" s="544" t="s">
        <v>101</v>
      </c>
      <c r="I534" s="545" t="s">
        <v>103</v>
      </c>
      <c r="J534" s="542" t="s">
        <v>15</v>
      </c>
      <c r="K534" s="546"/>
      <c r="L534" s="544" t="s">
        <v>90</v>
      </c>
      <c r="M534" s="544" t="s">
        <v>90</v>
      </c>
      <c r="N534" s="544" t="s">
        <v>263</v>
      </c>
      <c r="O534" s="544" t="s">
        <v>263</v>
      </c>
      <c r="P534" s="544" t="s">
        <v>263</v>
      </c>
    </row>
    <row r="535" spans="2:16">
      <c r="C535" s="548">
        <f>IF(D529= "","-",D529)</f>
        <v>2016</v>
      </c>
      <c r="D535" s="506">
        <f>+D528</f>
        <v>52217631.810000002</v>
      </c>
      <c r="E535" s="554">
        <f>+J532/12*(12-D530)</f>
        <v>0</v>
      </c>
      <c r="F535" s="601">
        <f t="shared" ref="F535:F594" si="44">+D535-E535</f>
        <v>52217631.810000002</v>
      </c>
      <c r="G535" s="506">
        <f>+(D535+F535)/2</f>
        <v>52217631.810000002</v>
      </c>
      <c r="H535" s="550">
        <f>+J530*G535+E535</f>
        <v>5760993.8067540945</v>
      </c>
      <c r="I535" s="551">
        <f>+J531*G535+E535</f>
        <v>5760993.8067540945</v>
      </c>
      <c r="J535" s="552">
        <f>+I535-H535</f>
        <v>0</v>
      </c>
      <c r="K535" s="552"/>
      <c r="L535" s="571">
        <v>5279934</v>
      </c>
      <c r="M535" s="602">
        <f t="shared" ref="M535:M594" si="45">IF(L535&lt;&gt;0,+H535-L535,0)</f>
        <v>481059.80675409455</v>
      </c>
      <c r="N535" s="571">
        <v>5279934</v>
      </c>
      <c r="O535" s="602">
        <f t="shared" ref="O535:O594" si="46">IF(N535&lt;&gt;0,+I535-N535,0)</f>
        <v>481059.80675409455</v>
      </c>
      <c r="P535" s="602">
        <f t="shared" ref="P535:P594" si="47">+O535-M535</f>
        <v>0</v>
      </c>
    </row>
    <row r="536" spans="2:16">
      <c r="C536" s="548">
        <f>IF(D529="","-",+C535+1)</f>
        <v>2017</v>
      </c>
      <c r="D536" s="506">
        <f t="shared" ref="D536:D588" si="48">F535</f>
        <v>52217631.810000002</v>
      </c>
      <c r="E536" s="549">
        <f>IF(D536&gt;$J$532,$J$532,D536)</f>
        <v>1450489.7725</v>
      </c>
      <c r="F536" s="549">
        <f t="shared" si="44"/>
        <v>50767142.037500001</v>
      </c>
      <c r="G536" s="506">
        <f t="shared" ref="G536:G594" si="49">+(D536+F536)/2</f>
        <v>51492386.923749998</v>
      </c>
      <c r="H536" s="554">
        <f>+J530*G536+E536</f>
        <v>7131469.7763825096</v>
      </c>
      <c r="I536" s="555">
        <f>+J531*G536+E536</f>
        <v>7131469.7763825096</v>
      </c>
      <c r="J536" s="552">
        <f>+I536-H536</f>
        <v>0</v>
      </c>
      <c r="K536" s="552"/>
      <c r="L536" s="572">
        <v>5667478</v>
      </c>
      <c r="M536" s="552">
        <f t="shared" si="45"/>
        <v>1463991.7763825096</v>
      </c>
      <c r="N536" s="572">
        <v>5667478</v>
      </c>
      <c r="O536" s="552">
        <f t="shared" si="46"/>
        <v>1463991.7763825096</v>
      </c>
      <c r="P536" s="552">
        <f t="shared" si="47"/>
        <v>0</v>
      </c>
    </row>
    <row r="537" spans="2:16">
      <c r="C537" s="548">
        <f>IF(D529="","-",+C536+1)</f>
        <v>2018</v>
      </c>
      <c r="D537" s="506">
        <f t="shared" si="48"/>
        <v>50767142.037500001</v>
      </c>
      <c r="E537" s="549">
        <f t="shared" ref="E537:E594" si="50">IF(D537&gt;$J$532,$J$532,D537)</f>
        <v>1450489.7725</v>
      </c>
      <c r="F537" s="549">
        <f t="shared" si="44"/>
        <v>49316652.265000001</v>
      </c>
      <c r="G537" s="506">
        <f t="shared" si="49"/>
        <v>50041897.151250005</v>
      </c>
      <c r="H537" s="554">
        <f>+J530*G537+E537</f>
        <v>6971442.1706393408</v>
      </c>
      <c r="I537" s="555">
        <f>+J531*G537+E537</f>
        <v>6971442.1706393408</v>
      </c>
      <c r="J537" s="552">
        <f t="shared" ref="J537:J594" si="51">+I537-H537</f>
        <v>0</v>
      </c>
      <c r="K537" s="552"/>
      <c r="L537" s="572">
        <v>4860385</v>
      </c>
      <c r="M537" s="552">
        <f t="shared" si="45"/>
        <v>2111057.1706393408</v>
      </c>
      <c r="N537" s="572">
        <v>4860385</v>
      </c>
      <c r="O537" s="552">
        <f t="shared" si="46"/>
        <v>2111057.1706393408</v>
      </c>
      <c r="P537" s="552">
        <f t="shared" si="47"/>
        <v>0</v>
      </c>
    </row>
    <row r="538" spans="2:16">
      <c r="C538" s="548">
        <f>IF(D529="","-",+C537+1)</f>
        <v>2019</v>
      </c>
      <c r="D538" s="506">
        <f t="shared" si="48"/>
        <v>49316652.265000001</v>
      </c>
      <c r="E538" s="549">
        <f t="shared" si="50"/>
        <v>1450489.7725</v>
      </c>
      <c r="F538" s="549">
        <f t="shared" si="44"/>
        <v>47866162.4925</v>
      </c>
      <c r="G538" s="506">
        <f t="shared" si="49"/>
        <v>48591407.378749996</v>
      </c>
      <c r="H538" s="554">
        <f>+J530*G538+E538</f>
        <v>6811414.564896171</v>
      </c>
      <c r="I538" s="555">
        <f>+J531*G538+E538</f>
        <v>6811414.564896171</v>
      </c>
      <c r="J538" s="552">
        <f t="shared" si="51"/>
        <v>0</v>
      </c>
      <c r="K538" s="552"/>
      <c r="L538" s="572">
        <v>6293605</v>
      </c>
      <c r="M538" s="552">
        <f t="shared" si="45"/>
        <v>517809.56489617098</v>
      </c>
      <c r="N538" s="572">
        <v>6293605</v>
      </c>
      <c r="O538" s="552">
        <f t="shared" si="46"/>
        <v>517809.56489617098</v>
      </c>
      <c r="P538" s="552">
        <f t="shared" si="47"/>
        <v>0</v>
      </c>
    </row>
    <row r="539" spans="2:16">
      <c r="C539" s="548">
        <f>IF(D529="","-",+C538+1)</f>
        <v>2020</v>
      </c>
      <c r="D539" s="970">
        <f t="shared" si="48"/>
        <v>47866162.4925</v>
      </c>
      <c r="E539" s="549">
        <f t="shared" si="50"/>
        <v>1450489.7725</v>
      </c>
      <c r="F539" s="549">
        <f t="shared" si="44"/>
        <v>46415672.719999999</v>
      </c>
      <c r="G539" s="506">
        <f t="shared" si="49"/>
        <v>47140917.606250003</v>
      </c>
      <c r="H539" s="554">
        <f>+J530*G539+E539</f>
        <v>6651386.9591530021</v>
      </c>
      <c r="I539" s="555">
        <f>+J531*G539+E539</f>
        <v>6651386.9591530021</v>
      </c>
      <c r="J539" s="552">
        <f t="shared" si="51"/>
        <v>0</v>
      </c>
      <c r="K539" s="552"/>
      <c r="L539" s="572">
        <v>6439770.5705238646</v>
      </c>
      <c r="M539" s="552">
        <f t="shared" si="45"/>
        <v>211616.38862913754</v>
      </c>
      <c r="N539" s="572">
        <v>6439770.5705238646</v>
      </c>
      <c r="O539" s="552">
        <f t="shared" si="46"/>
        <v>211616.38862913754</v>
      </c>
      <c r="P539" s="552">
        <f t="shared" si="47"/>
        <v>0</v>
      </c>
    </row>
    <row r="540" spans="2:16">
      <c r="C540" s="548">
        <f>IF(D529="","-",+C539+1)</f>
        <v>2021</v>
      </c>
      <c r="D540" s="970">
        <f t="shared" si="48"/>
        <v>46415672.719999999</v>
      </c>
      <c r="E540" s="549">
        <f t="shared" si="50"/>
        <v>1450489.7725</v>
      </c>
      <c r="F540" s="549">
        <f t="shared" si="44"/>
        <v>44965182.947499998</v>
      </c>
      <c r="G540" s="506">
        <f t="shared" si="49"/>
        <v>45690427.833749995</v>
      </c>
      <c r="H540" s="554">
        <f>+J530*G540+E540</f>
        <v>6491359.3534098323</v>
      </c>
      <c r="I540" s="555">
        <f>+J531*G540+E540</f>
        <v>6491359.3534098323</v>
      </c>
      <c r="J540" s="552">
        <f t="shared" si="51"/>
        <v>0</v>
      </c>
      <c r="K540" s="552"/>
      <c r="L540" s="572">
        <v>6395009.4806452719</v>
      </c>
      <c r="M540" s="552">
        <f t="shared" si="45"/>
        <v>96349.872764560394</v>
      </c>
      <c r="N540" s="572">
        <v>6395009.4806452719</v>
      </c>
      <c r="O540" s="552">
        <f t="shared" si="46"/>
        <v>96349.872764560394</v>
      </c>
      <c r="P540" s="552">
        <f t="shared" si="47"/>
        <v>0</v>
      </c>
    </row>
    <row r="541" spans="2:16">
      <c r="C541" s="548">
        <f>IF(D529="","-",+C540+1)</f>
        <v>2022</v>
      </c>
      <c r="D541" s="970">
        <f t="shared" si="48"/>
        <v>44965182.947499998</v>
      </c>
      <c r="E541" s="549">
        <f t="shared" si="50"/>
        <v>1450489.7725</v>
      </c>
      <c r="F541" s="549">
        <f t="shared" si="44"/>
        <v>43514693.174999997</v>
      </c>
      <c r="G541" s="506">
        <f t="shared" si="49"/>
        <v>44239938.061250001</v>
      </c>
      <c r="H541" s="554">
        <f>+J530*G541+E541</f>
        <v>6331331.7476666635</v>
      </c>
      <c r="I541" s="555">
        <f>+J531*G541+E541</f>
        <v>6331331.7476666635</v>
      </c>
      <c r="J541" s="552">
        <f t="shared" si="51"/>
        <v>0</v>
      </c>
      <c r="K541" s="552"/>
      <c r="L541" s="572">
        <v>6489459.8518816978</v>
      </c>
      <c r="M541" s="552">
        <f t="shared" si="45"/>
        <v>-158128.10421503428</v>
      </c>
      <c r="N541" s="572">
        <v>6489459.8518816978</v>
      </c>
      <c r="O541" s="552">
        <f t="shared" si="46"/>
        <v>-158128.10421503428</v>
      </c>
      <c r="P541" s="552">
        <f t="shared" si="47"/>
        <v>0</v>
      </c>
    </row>
    <row r="542" spans="2:16">
      <c r="C542" s="548">
        <f>IF(D529="","-",+C541+1)</f>
        <v>2023</v>
      </c>
      <c r="D542" s="506">
        <f t="shared" si="48"/>
        <v>43514693.174999997</v>
      </c>
      <c r="E542" s="549">
        <f t="shared" si="50"/>
        <v>1450489.7725</v>
      </c>
      <c r="F542" s="549">
        <f t="shared" si="44"/>
        <v>42064203.402499996</v>
      </c>
      <c r="G542" s="506">
        <f t="shared" si="49"/>
        <v>42789448.288749993</v>
      </c>
      <c r="H542" s="554">
        <f>+J530*G542+E542</f>
        <v>6171304.1419234928</v>
      </c>
      <c r="I542" s="555">
        <f>+J531*G542+E542</f>
        <v>6171304.1419234928</v>
      </c>
      <c r="J542" s="552">
        <f t="shared" si="51"/>
        <v>0</v>
      </c>
      <c r="K542" s="552"/>
      <c r="L542" s="572">
        <v>6325162.6966999378</v>
      </c>
      <c r="M542" s="552">
        <f t="shared" si="45"/>
        <v>-153858.55477644503</v>
      </c>
      <c r="N542" s="572">
        <v>6325162.6966999378</v>
      </c>
      <c r="O542" s="552">
        <f t="shared" si="46"/>
        <v>-153858.55477644503</v>
      </c>
      <c r="P542" s="552">
        <f t="shared" si="47"/>
        <v>0</v>
      </c>
    </row>
    <row r="543" spans="2:16">
      <c r="C543" s="548">
        <f>IF(D529="","-",+C542+1)</f>
        <v>2024</v>
      </c>
      <c r="D543" s="506">
        <f t="shared" si="48"/>
        <v>42064203.402499996</v>
      </c>
      <c r="E543" s="549">
        <f t="shared" si="50"/>
        <v>1450489.7725</v>
      </c>
      <c r="F543" s="549">
        <f t="shared" si="44"/>
        <v>40613713.629999995</v>
      </c>
      <c r="G543" s="506">
        <f t="shared" si="49"/>
        <v>41338958.516249999</v>
      </c>
      <c r="H543" s="554">
        <f>+J530*G543+E543</f>
        <v>6011276.5361803249</v>
      </c>
      <c r="I543" s="555">
        <f>+J531*G543+E543</f>
        <v>6011276.5361803249</v>
      </c>
      <c r="J543" s="552">
        <f t="shared" si="51"/>
        <v>0</v>
      </c>
      <c r="K543" s="552"/>
      <c r="L543" s="572">
        <v>6138203.9454350602</v>
      </c>
      <c r="M543" s="552">
        <f t="shared" si="45"/>
        <v>-126927.40925473534</v>
      </c>
      <c r="N543" s="572">
        <v>6138203.9454350602</v>
      </c>
      <c r="O543" s="552">
        <f t="shared" si="46"/>
        <v>-126927.40925473534</v>
      </c>
      <c r="P543" s="552">
        <f t="shared" si="47"/>
        <v>0</v>
      </c>
    </row>
    <row r="544" spans="2:16">
      <c r="C544" s="548">
        <f>IF(D529="","-",+C543+1)</f>
        <v>2025</v>
      </c>
      <c r="D544" s="506">
        <f t="shared" si="48"/>
        <v>40613713.629999995</v>
      </c>
      <c r="E544" s="549">
        <f t="shared" si="50"/>
        <v>1450489.7725</v>
      </c>
      <c r="F544" s="549">
        <f t="shared" si="44"/>
        <v>39163223.857499994</v>
      </c>
      <c r="G544" s="506">
        <f t="shared" si="49"/>
        <v>39888468.743749991</v>
      </c>
      <c r="H544" s="554">
        <f>+J530*G544+E544</f>
        <v>5851248.9304371541</v>
      </c>
      <c r="I544" s="555">
        <f>+J531*G544+E544</f>
        <v>5851248.9304371541</v>
      </c>
      <c r="J544" s="552">
        <f t="shared" si="51"/>
        <v>0</v>
      </c>
      <c r="K544" s="552"/>
      <c r="L544" s="572">
        <v>6034650.3718772018</v>
      </c>
      <c r="M544" s="552">
        <f t="shared" si="45"/>
        <v>-183401.4414400477</v>
      </c>
      <c r="N544" s="572">
        <v>6034650.3718772018</v>
      </c>
      <c r="O544" s="552">
        <f t="shared" si="46"/>
        <v>-183401.4414400477</v>
      </c>
      <c r="P544" s="552">
        <f t="shared" si="47"/>
        <v>0</v>
      </c>
    </row>
    <row r="545" spans="3:16">
      <c r="C545" s="548">
        <f>IF(D529="","-",+C544+1)</f>
        <v>2026</v>
      </c>
      <c r="D545" s="506">
        <f t="shared" si="48"/>
        <v>39163223.857499994</v>
      </c>
      <c r="E545" s="549">
        <f t="shared" si="50"/>
        <v>1450489.7725</v>
      </c>
      <c r="F545" s="549">
        <f t="shared" si="44"/>
        <v>37712734.084999993</v>
      </c>
      <c r="G545" s="506">
        <f t="shared" si="49"/>
        <v>38437978.971249998</v>
      </c>
      <c r="H545" s="554">
        <f>+J530*G545+E545</f>
        <v>5691221.3246939862</v>
      </c>
      <c r="I545" s="555">
        <f>+J531*G545+E545</f>
        <v>5691221.3246939862</v>
      </c>
      <c r="J545" s="552">
        <f t="shared" si="51"/>
        <v>0</v>
      </c>
      <c r="K545" s="552"/>
      <c r="L545" s="572"/>
      <c r="M545" s="552">
        <f t="shared" si="45"/>
        <v>0</v>
      </c>
      <c r="N545" s="572"/>
      <c r="O545" s="552">
        <f t="shared" si="46"/>
        <v>0</v>
      </c>
      <c r="P545" s="552">
        <f t="shared" si="47"/>
        <v>0</v>
      </c>
    </row>
    <row r="546" spans="3:16">
      <c r="C546" s="548">
        <f>IF(D529="","-",+C545+1)</f>
        <v>2027</v>
      </c>
      <c r="D546" s="506">
        <f t="shared" si="48"/>
        <v>37712734.084999993</v>
      </c>
      <c r="E546" s="549">
        <f t="shared" si="50"/>
        <v>1450489.7725</v>
      </c>
      <c r="F546" s="549">
        <f t="shared" si="44"/>
        <v>36262244.312499993</v>
      </c>
      <c r="G546" s="506">
        <f t="shared" si="49"/>
        <v>36987489.198749989</v>
      </c>
      <c r="H546" s="554">
        <f>+J530*G546+E546</f>
        <v>5531193.7189508155</v>
      </c>
      <c r="I546" s="555">
        <f>+J531*G546+E546</f>
        <v>5531193.7189508155</v>
      </c>
      <c r="J546" s="552">
        <f t="shared" si="51"/>
        <v>0</v>
      </c>
      <c r="K546" s="552"/>
      <c r="L546" s="572"/>
      <c r="M546" s="552">
        <f t="shared" si="45"/>
        <v>0</v>
      </c>
      <c r="N546" s="572"/>
      <c r="O546" s="552">
        <f t="shared" si="46"/>
        <v>0</v>
      </c>
      <c r="P546" s="552">
        <f t="shared" si="47"/>
        <v>0</v>
      </c>
    </row>
    <row r="547" spans="3:16">
      <c r="C547" s="548">
        <f>IF(D529="","-",+C546+1)</f>
        <v>2028</v>
      </c>
      <c r="D547" s="506">
        <f t="shared" si="48"/>
        <v>36262244.312499993</v>
      </c>
      <c r="E547" s="549">
        <f t="shared" si="50"/>
        <v>1450489.7725</v>
      </c>
      <c r="F547" s="549">
        <f t="shared" si="44"/>
        <v>34811754.539999992</v>
      </c>
      <c r="G547" s="506">
        <f t="shared" si="49"/>
        <v>35536999.426249996</v>
      </c>
      <c r="H547" s="554">
        <f>+J530*G547+E547</f>
        <v>5371166.1132076476</v>
      </c>
      <c r="I547" s="555">
        <f>+J531*G547+E547</f>
        <v>5371166.1132076476</v>
      </c>
      <c r="J547" s="552">
        <f t="shared" si="51"/>
        <v>0</v>
      </c>
      <c r="K547" s="552"/>
      <c r="L547" s="572"/>
      <c r="M547" s="552">
        <f t="shared" si="45"/>
        <v>0</v>
      </c>
      <c r="N547" s="572"/>
      <c r="O547" s="552">
        <f t="shared" si="46"/>
        <v>0</v>
      </c>
      <c r="P547" s="552">
        <f t="shared" si="47"/>
        <v>0</v>
      </c>
    </row>
    <row r="548" spans="3:16">
      <c r="C548" s="548">
        <f>IF(D529="","-",+C547+1)</f>
        <v>2029</v>
      </c>
      <c r="D548" s="506">
        <f t="shared" si="48"/>
        <v>34811754.539999992</v>
      </c>
      <c r="E548" s="549">
        <f t="shared" si="50"/>
        <v>1450489.7725</v>
      </c>
      <c r="F548" s="549">
        <f t="shared" si="44"/>
        <v>33361264.767499991</v>
      </c>
      <c r="G548" s="506">
        <f t="shared" si="49"/>
        <v>34086509.653749987</v>
      </c>
      <c r="H548" s="554">
        <f>+J530*G548+E548</f>
        <v>5211138.5074644769</v>
      </c>
      <c r="I548" s="555">
        <f>+J531*G548+E548</f>
        <v>5211138.5074644769</v>
      </c>
      <c r="J548" s="552">
        <f t="shared" si="51"/>
        <v>0</v>
      </c>
      <c r="K548" s="552"/>
      <c r="L548" s="572"/>
      <c r="M548" s="552">
        <f t="shared" si="45"/>
        <v>0</v>
      </c>
      <c r="N548" s="572"/>
      <c r="O548" s="552">
        <f t="shared" si="46"/>
        <v>0</v>
      </c>
      <c r="P548" s="552">
        <f t="shared" si="47"/>
        <v>0</v>
      </c>
    </row>
    <row r="549" spans="3:16">
      <c r="C549" s="548">
        <f>IF(D529="","-",+C548+1)</f>
        <v>2030</v>
      </c>
      <c r="D549" s="506">
        <f t="shared" si="48"/>
        <v>33361264.767499991</v>
      </c>
      <c r="E549" s="549">
        <f t="shared" si="50"/>
        <v>1450489.7725</v>
      </c>
      <c r="F549" s="549">
        <f t="shared" si="44"/>
        <v>31910774.99499999</v>
      </c>
      <c r="G549" s="506">
        <f t="shared" si="49"/>
        <v>32636019.88124999</v>
      </c>
      <c r="H549" s="554">
        <f>+J530*G549+E549</f>
        <v>5051110.901721308</v>
      </c>
      <c r="I549" s="555">
        <f>+J531*G549+E549</f>
        <v>5051110.901721308</v>
      </c>
      <c r="J549" s="552">
        <f t="shared" si="51"/>
        <v>0</v>
      </c>
      <c r="K549" s="552"/>
      <c r="L549" s="572"/>
      <c r="M549" s="552">
        <f t="shared" si="45"/>
        <v>0</v>
      </c>
      <c r="N549" s="572"/>
      <c r="O549" s="552">
        <f t="shared" si="46"/>
        <v>0</v>
      </c>
      <c r="P549" s="552">
        <f t="shared" si="47"/>
        <v>0</v>
      </c>
    </row>
    <row r="550" spans="3:16">
      <c r="C550" s="548">
        <f>IF(D529="","-",+C549+1)</f>
        <v>2031</v>
      </c>
      <c r="D550" s="506">
        <f t="shared" si="48"/>
        <v>31910774.99499999</v>
      </c>
      <c r="E550" s="549">
        <f t="shared" si="50"/>
        <v>1450489.7725</v>
      </c>
      <c r="F550" s="549">
        <f t="shared" si="44"/>
        <v>30460285.222499989</v>
      </c>
      <c r="G550" s="506">
        <f t="shared" si="49"/>
        <v>31185530.108749989</v>
      </c>
      <c r="H550" s="554">
        <f>+J530*G550+E550</f>
        <v>4891083.2959781382</v>
      </c>
      <c r="I550" s="555">
        <f>+J531*G550+E550</f>
        <v>4891083.2959781382</v>
      </c>
      <c r="J550" s="552">
        <f t="shared" si="51"/>
        <v>0</v>
      </c>
      <c r="K550" s="552"/>
      <c r="L550" s="572"/>
      <c r="M550" s="552">
        <f t="shared" si="45"/>
        <v>0</v>
      </c>
      <c r="N550" s="572"/>
      <c r="O550" s="552">
        <f t="shared" si="46"/>
        <v>0</v>
      </c>
      <c r="P550" s="552">
        <f t="shared" si="47"/>
        <v>0</v>
      </c>
    </row>
    <row r="551" spans="3:16">
      <c r="C551" s="548">
        <f>IF(D529="","-",+C550+1)</f>
        <v>2032</v>
      </c>
      <c r="D551" s="506">
        <f t="shared" si="48"/>
        <v>30460285.222499989</v>
      </c>
      <c r="E551" s="549">
        <f t="shared" si="50"/>
        <v>1450489.7725</v>
      </c>
      <c r="F551" s="549">
        <f t="shared" si="44"/>
        <v>29009795.449999988</v>
      </c>
      <c r="G551" s="506">
        <f t="shared" si="49"/>
        <v>29735040.336249989</v>
      </c>
      <c r="H551" s="554">
        <f>+J530*G551+E551</f>
        <v>4731055.6902349684</v>
      </c>
      <c r="I551" s="555">
        <f>+J531*G551+E551</f>
        <v>4731055.6902349684</v>
      </c>
      <c r="J551" s="552">
        <f t="shared" si="51"/>
        <v>0</v>
      </c>
      <c r="K551" s="552"/>
      <c r="L551" s="572"/>
      <c r="M551" s="552">
        <f t="shared" si="45"/>
        <v>0</v>
      </c>
      <c r="N551" s="572"/>
      <c r="O551" s="552">
        <f t="shared" si="46"/>
        <v>0</v>
      </c>
      <c r="P551" s="552">
        <f t="shared" si="47"/>
        <v>0</v>
      </c>
    </row>
    <row r="552" spans="3:16">
      <c r="C552" s="548">
        <f>IF(D529="","-",+C551+1)</f>
        <v>2033</v>
      </c>
      <c r="D552" s="506">
        <f t="shared" si="48"/>
        <v>29009795.449999988</v>
      </c>
      <c r="E552" s="549">
        <f t="shared" si="50"/>
        <v>1450489.7725</v>
      </c>
      <c r="F552" s="549">
        <f t="shared" si="44"/>
        <v>27559305.677499987</v>
      </c>
      <c r="G552" s="506">
        <f t="shared" si="49"/>
        <v>28284550.563749988</v>
      </c>
      <c r="H552" s="554">
        <f>+J530*G552+E552</f>
        <v>4571028.0844917996</v>
      </c>
      <c r="I552" s="555">
        <f>+J531*G552+E552</f>
        <v>4571028.0844917996</v>
      </c>
      <c r="J552" s="552">
        <f t="shared" si="51"/>
        <v>0</v>
      </c>
      <c r="K552" s="552"/>
      <c r="L552" s="572"/>
      <c r="M552" s="552">
        <f t="shared" si="45"/>
        <v>0</v>
      </c>
      <c r="N552" s="572"/>
      <c r="O552" s="552">
        <f t="shared" si="46"/>
        <v>0</v>
      </c>
      <c r="P552" s="552">
        <f t="shared" si="47"/>
        <v>0</v>
      </c>
    </row>
    <row r="553" spans="3:16">
      <c r="C553" s="548">
        <f>IF(D529="","-",+C552+1)</f>
        <v>2034</v>
      </c>
      <c r="D553" s="506">
        <f t="shared" si="48"/>
        <v>27559305.677499987</v>
      </c>
      <c r="E553" s="549">
        <f t="shared" si="50"/>
        <v>1450489.7725</v>
      </c>
      <c r="F553" s="549">
        <f t="shared" si="44"/>
        <v>26108815.904999986</v>
      </c>
      <c r="G553" s="506">
        <f t="shared" si="49"/>
        <v>26834060.791249987</v>
      </c>
      <c r="H553" s="554">
        <f>+J530*G553+E553</f>
        <v>4411000.4787486307</v>
      </c>
      <c r="I553" s="555">
        <f>+J531*G553+E553</f>
        <v>4411000.4787486307</v>
      </c>
      <c r="J553" s="552">
        <f t="shared" si="51"/>
        <v>0</v>
      </c>
      <c r="K553" s="552"/>
      <c r="L553" s="572"/>
      <c r="M553" s="552">
        <f t="shared" si="45"/>
        <v>0</v>
      </c>
      <c r="N553" s="572"/>
      <c r="O553" s="552">
        <f t="shared" si="46"/>
        <v>0</v>
      </c>
      <c r="P553" s="552">
        <f t="shared" si="47"/>
        <v>0</v>
      </c>
    </row>
    <row r="554" spans="3:16">
      <c r="C554" s="548">
        <f>IF(D529="","-",+C553+1)</f>
        <v>2035</v>
      </c>
      <c r="D554" s="506">
        <f t="shared" si="48"/>
        <v>26108815.904999986</v>
      </c>
      <c r="E554" s="549">
        <f t="shared" si="50"/>
        <v>1450489.7725</v>
      </c>
      <c r="F554" s="549">
        <f t="shared" si="44"/>
        <v>24658326.132499985</v>
      </c>
      <c r="G554" s="506">
        <f t="shared" si="49"/>
        <v>25383571.018749986</v>
      </c>
      <c r="H554" s="554">
        <f>+J530*G554+E554</f>
        <v>4250972.8730054609</v>
      </c>
      <c r="I554" s="555">
        <f>+J531*G554+E554</f>
        <v>4250972.8730054609</v>
      </c>
      <c r="J554" s="552">
        <f t="shared" si="51"/>
        <v>0</v>
      </c>
      <c r="K554" s="552"/>
      <c r="L554" s="572"/>
      <c r="M554" s="552">
        <f t="shared" si="45"/>
        <v>0</v>
      </c>
      <c r="N554" s="572"/>
      <c r="O554" s="552">
        <f t="shared" si="46"/>
        <v>0</v>
      </c>
      <c r="P554" s="552">
        <f t="shared" si="47"/>
        <v>0</v>
      </c>
    </row>
    <row r="555" spans="3:16">
      <c r="C555" s="548">
        <f>IF(D529="","-",+C554+1)</f>
        <v>2036</v>
      </c>
      <c r="D555" s="506">
        <f t="shared" si="48"/>
        <v>24658326.132499985</v>
      </c>
      <c r="E555" s="549">
        <f t="shared" si="50"/>
        <v>1450489.7725</v>
      </c>
      <c r="F555" s="549">
        <f t="shared" si="44"/>
        <v>23207836.359999985</v>
      </c>
      <c r="G555" s="506">
        <f t="shared" si="49"/>
        <v>23933081.246249985</v>
      </c>
      <c r="H555" s="554">
        <f>+J530*G555+E555</f>
        <v>4090945.2672622916</v>
      </c>
      <c r="I555" s="555">
        <f>+J531*G555+E555</f>
        <v>4090945.2672622916</v>
      </c>
      <c r="J555" s="552">
        <f t="shared" si="51"/>
        <v>0</v>
      </c>
      <c r="K555" s="552"/>
      <c r="L555" s="572"/>
      <c r="M555" s="552">
        <f t="shared" si="45"/>
        <v>0</v>
      </c>
      <c r="N555" s="572"/>
      <c r="O555" s="552">
        <f t="shared" si="46"/>
        <v>0</v>
      </c>
      <c r="P555" s="552">
        <f t="shared" si="47"/>
        <v>0</v>
      </c>
    </row>
    <row r="556" spans="3:16">
      <c r="C556" s="548">
        <f>IF(D529="","-",+C555+1)</f>
        <v>2037</v>
      </c>
      <c r="D556" s="506">
        <f t="shared" si="48"/>
        <v>23207836.359999985</v>
      </c>
      <c r="E556" s="549">
        <f t="shared" si="50"/>
        <v>1450489.7725</v>
      </c>
      <c r="F556" s="549">
        <f t="shared" si="44"/>
        <v>21757346.587499984</v>
      </c>
      <c r="G556" s="506">
        <f t="shared" si="49"/>
        <v>22482591.473749984</v>
      </c>
      <c r="H556" s="554">
        <f>+J530*G556+E556</f>
        <v>3930917.6615191223</v>
      </c>
      <c r="I556" s="555">
        <f>+J531*G556+E556</f>
        <v>3930917.6615191223</v>
      </c>
      <c r="J556" s="552">
        <f t="shared" si="51"/>
        <v>0</v>
      </c>
      <c r="K556" s="552"/>
      <c r="L556" s="572"/>
      <c r="M556" s="552">
        <f t="shared" si="45"/>
        <v>0</v>
      </c>
      <c r="N556" s="572"/>
      <c r="O556" s="552">
        <f t="shared" si="46"/>
        <v>0</v>
      </c>
      <c r="P556" s="552">
        <f t="shared" si="47"/>
        <v>0</v>
      </c>
    </row>
    <row r="557" spans="3:16">
      <c r="C557" s="548">
        <f>IF(D529="","-",+C556+1)</f>
        <v>2038</v>
      </c>
      <c r="D557" s="506">
        <f t="shared" si="48"/>
        <v>21757346.587499984</v>
      </c>
      <c r="E557" s="549">
        <f t="shared" si="50"/>
        <v>1450489.7725</v>
      </c>
      <c r="F557" s="549">
        <f t="shared" si="44"/>
        <v>20306856.814999983</v>
      </c>
      <c r="G557" s="506">
        <f t="shared" si="49"/>
        <v>21032101.701249983</v>
      </c>
      <c r="H557" s="554">
        <f>+J530*G557+E557</f>
        <v>3770890.055775953</v>
      </c>
      <c r="I557" s="555">
        <f>+J531*G557+E557</f>
        <v>3770890.055775953</v>
      </c>
      <c r="J557" s="552">
        <f t="shared" si="51"/>
        <v>0</v>
      </c>
      <c r="K557" s="552"/>
      <c r="L557" s="572"/>
      <c r="M557" s="552">
        <f t="shared" si="45"/>
        <v>0</v>
      </c>
      <c r="N557" s="572"/>
      <c r="O557" s="552">
        <f t="shared" si="46"/>
        <v>0</v>
      </c>
      <c r="P557" s="552">
        <f t="shared" si="47"/>
        <v>0</v>
      </c>
    </row>
    <row r="558" spans="3:16">
      <c r="C558" s="548">
        <f>IF(D529="","-",+C557+1)</f>
        <v>2039</v>
      </c>
      <c r="D558" s="506">
        <f t="shared" si="48"/>
        <v>20306856.814999983</v>
      </c>
      <c r="E558" s="549">
        <f t="shared" si="50"/>
        <v>1450489.7725</v>
      </c>
      <c r="F558" s="549">
        <f t="shared" si="44"/>
        <v>18856367.042499982</v>
      </c>
      <c r="G558" s="506">
        <f t="shared" si="49"/>
        <v>19581611.928749982</v>
      </c>
      <c r="H558" s="554">
        <f>+J530*G558+E558</f>
        <v>3610862.4500327832</v>
      </c>
      <c r="I558" s="555">
        <f>+J531*G558+E558</f>
        <v>3610862.4500327832</v>
      </c>
      <c r="J558" s="552">
        <f t="shared" si="51"/>
        <v>0</v>
      </c>
      <c r="K558" s="552"/>
      <c r="L558" s="572"/>
      <c r="M558" s="552">
        <f t="shared" si="45"/>
        <v>0</v>
      </c>
      <c r="N558" s="572"/>
      <c r="O558" s="552">
        <f t="shared" si="46"/>
        <v>0</v>
      </c>
      <c r="P558" s="552">
        <f t="shared" si="47"/>
        <v>0</v>
      </c>
    </row>
    <row r="559" spans="3:16">
      <c r="C559" s="548">
        <f>IF(D529="","-",+C558+1)</f>
        <v>2040</v>
      </c>
      <c r="D559" s="506">
        <f t="shared" si="48"/>
        <v>18856367.042499982</v>
      </c>
      <c r="E559" s="549">
        <f t="shared" si="50"/>
        <v>1450489.7725</v>
      </c>
      <c r="F559" s="549">
        <f t="shared" si="44"/>
        <v>17405877.269999981</v>
      </c>
      <c r="G559" s="506">
        <f t="shared" si="49"/>
        <v>18131122.156249981</v>
      </c>
      <c r="H559" s="554">
        <f>+J530*G559+E559</f>
        <v>3450834.8442896139</v>
      </c>
      <c r="I559" s="555">
        <f>+J531*G559+E559</f>
        <v>3450834.8442896139</v>
      </c>
      <c r="J559" s="552">
        <f t="shared" si="51"/>
        <v>0</v>
      </c>
      <c r="K559" s="552"/>
      <c r="L559" s="572"/>
      <c r="M559" s="552">
        <f t="shared" si="45"/>
        <v>0</v>
      </c>
      <c r="N559" s="572"/>
      <c r="O559" s="552">
        <f t="shared" si="46"/>
        <v>0</v>
      </c>
      <c r="P559" s="552">
        <f t="shared" si="47"/>
        <v>0</v>
      </c>
    </row>
    <row r="560" spans="3:16">
      <c r="C560" s="548">
        <f>IF(D529="","-",+C559+1)</f>
        <v>2041</v>
      </c>
      <c r="D560" s="506">
        <f t="shared" si="48"/>
        <v>17405877.269999981</v>
      </c>
      <c r="E560" s="549">
        <f t="shared" si="50"/>
        <v>1450489.7725</v>
      </c>
      <c r="F560" s="549">
        <f t="shared" si="44"/>
        <v>15955387.49749998</v>
      </c>
      <c r="G560" s="506">
        <f t="shared" si="49"/>
        <v>16680632.38374998</v>
      </c>
      <c r="H560" s="554">
        <f>+J530*G560+E560</f>
        <v>3290807.2385464446</v>
      </c>
      <c r="I560" s="555">
        <f>+J531*G560+E560</f>
        <v>3290807.2385464446</v>
      </c>
      <c r="J560" s="552">
        <f t="shared" si="51"/>
        <v>0</v>
      </c>
      <c r="K560" s="552"/>
      <c r="L560" s="572"/>
      <c r="M560" s="552">
        <f t="shared" si="45"/>
        <v>0</v>
      </c>
      <c r="N560" s="572"/>
      <c r="O560" s="552">
        <f t="shared" si="46"/>
        <v>0</v>
      </c>
      <c r="P560" s="552">
        <f t="shared" si="47"/>
        <v>0</v>
      </c>
    </row>
    <row r="561" spans="3:16">
      <c r="C561" s="548">
        <f>IF(D529="","-",+C560+1)</f>
        <v>2042</v>
      </c>
      <c r="D561" s="506">
        <f t="shared" si="48"/>
        <v>15955387.49749998</v>
      </c>
      <c r="E561" s="549">
        <f t="shared" si="50"/>
        <v>1450489.7725</v>
      </c>
      <c r="F561" s="549">
        <f t="shared" si="44"/>
        <v>14504897.724999979</v>
      </c>
      <c r="G561" s="506">
        <f t="shared" si="49"/>
        <v>15230142.61124998</v>
      </c>
      <c r="H561" s="554">
        <f>+J530*G561+E561</f>
        <v>3130779.6328032752</v>
      </c>
      <c r="I561" s="555">
        <f>+J531*G561+E561</f>
        <v>3130779.6328032752</v>
      </c>
      <c r="J561" s="552">
        <f t="shared" si="51"/>
        <v>0</v>
      </c>
      <c r="K561" s="552"/>
      <c r="L561" s="572"/>
      <c r="M561" s="552">
        <f t="shared" si="45"/>
        <v>0</v>
      </c>
      <c r="N561" s="572"/>
      <c r="O561" s="552">
        <f t="shared" si="46"/>
        <v>0</v>
      </c>
      <c r="P561" s="552">
        <f t="shared" si="47"/>
        <v>0</v>
      </c>
    </row>
    <row r="562" spans="3:16">
      <c r="C562" s="548">
        <f>IF(D529="","-",+C561+1)</f>
        <v>2043</v>
      </c>
      <c r="D562" s="506">
        <f t="shared" si="48"/>
        <v>14504897.724999979</v>
      </c>
      <c r="E562" s="549">
        <f t="shared" si="50"/>
        <v>1450489.7725</v>
      </c>
      <c r="F562" s="549">
        <f t="shared" si="44"/>
        <v>13054407.952499978</v>
      </c>
      <c r="G562" s="506">
        <f t="shared" si="49"/>
        <v>13779652.838749979</v>
      </c>
      <c r="H562" s="554">
        <f>+J530*G562+E562</f>
        <v>2970752.0270601059</v>
      </c>
      <c r="I562" s="555">
        <f>+J531*G562+E562</f>
        <v>2970752.0270601059</v>
      </c>
      <c r="J562" s="552">
        <f t="shared" si="51"/>
        <v>0</v>
      </c>
      <c r="K562" s="552"/>
      <c r="L562" s="572"/>
      <c r="M562" s="552">
        <f t="shared" si="45"/>
        <v>0</v>
      </c>
      <c r="N562" s="572"/>
      <c r="O562" s="552">
        <f t="shared" si="46"/>
        <v>0</v>
      </c>
      <c r="P562" s="552">
        <f t="shared" si="47"/>
        <v>0</v>
      </c>
    </row>
    <row r="563" spans="3:16">
      <c r="C563" s="548">
        <f>IF(D529="","-",+C562+1)</f>
        <v>2044</v>
      </c>
      <c r="D563" s="506">
        <f t="shared" si="48"/>
        <v>13054407.952499978</v>
      </c>
      <c r="E563" s="549">
        <f t="shared" si="50"/>
        <v>1450489.7725</v>
      </c>
      <c r="F563" s="549">
        <f t="shared" si="44"/>
        <v>11603918.179999977</v>
      </c>
      <c r="G563" s="506">
        <f t="shared" si="49"/>
        <v>12329163.066249978</v>
      </c>
      <c r="H563" s="554">
        <f>+J530*G563+E563</f>
        <v>2810724.4213169366</v>
      </c>
      <c r="I563" s="555">
        <f>+J531*G563+E563</f>
        <v>2810724.4213169366</v>
      </c>
      <c r="J563" s="552">
        <f t="shared" si="51"/>
        <v>0</v>
      </c>
      <c r="K563" s="552"/>
      <c r="L563" s="572"/>
      <c r="M563" s="552">
        <f t="shared" si="45"/>
        <v>0</v>
      </c>
      <c r="N563" s="572"/>
      <c r="O563" s="552">
        <f t="shared" si="46"/>
        <v>0</v>
      </c>
      <c r="P563" s="552">
        <f t="shared" si="47"/>
        <v>0</v>
      </c>
    </row>
    <row r="564" spans="3:16">
      <c r="C564" s="548">
        <f>IF(D529="","-",+C563+1)</f>
        <v>2045</v>
      </c>
      <c r="D564" s="506">
        <f t="shared" si="48"/>
        <v>11603918.179999977</v>
      </c>
      <c r="E564" s="549">
        <f t="shared" si="50"/>
        <v>1450489.7725</v>
      </c>
      <c r="F564" s="549">
        <f t="shared" si="44"/>
        <v>10153428.407499976</v>
      </c>
      <c r="G564" s="506">
        <f t="shared" si="49"/>
        <v>10878673.293749977</v>
      </c>
      <c r="H564" s="554">
        <f>+J530*G564+E564</f>
        <v>2650696.8155737668</v>
      </c>
      <c r="I564" s="555">
        <f>+J531*G564+E564</f>
        <v>2650696.8155737668</v>
      </c>
      <c r="J564" s="552">
        <f t="shared" si="51"/>
        <v>0</v>
      </c>
      <c r="K564" s="552"/>
      <c r="L564" s="572"/>
      <c r="M564" s="552">
        <f t="shared" si="45"/>
        <v>0</v>
      </c>
      <c r="N564" s="572"/>
      <c r="O564" s="552">
        <f t="shared" si="46"/>
        <v>0</v>
      </c>
      <c r="P564" s="552">
        <f t="shared" si="47"/>
        <v>0</v>
      </c>
    </row>
    <row r="565" spans="3:16">
      <c r="C565" s="548">
        <f>IF(D529="","-",+C564+1)</f>
        <v>2046</v>
      </c>
      <c r="D565" s="506">
        <f t="shared" si="48"/>
        <v>10153428.407499976</v>
      </c>
      <c r="E565" s="549">
        <f t="shared" si="50"/>
        <v>1450489.7725</v>
      </c>
      <c r="F565" s="549">
        <f t="shared" si="44"/>
        <v>8702938.6349999756</v>
      </c>
      <c r="G565" s="506">
        <f t="shared" si="49"/>
        <v>9428183.521249976</v>
      </c>
      <c r="H565" s="554">
        <f>+J530*G565+E565</f>
        <v>2490669.209830598</v>
      </c>
      <c r="I565" s="555">
        <f>+J531*G565+E565</f>
        <v>2490669.209830598</v>
      </c>
      <c r="J565" s="552">
        <f t="shared" si="51"/>
        <v>0</v>
      </c>
      <c r="K565" s="552"/>
      <c r="L565" s="572"/>
      <c r="M565" s="552">
        <f t="shared" si="45"/>
        <v>0</v>
      </c>
      <c r="N565" s="572"/>
      <c r="O565" s="552">
        <f t="shared" si="46"/>
        <v>0</v>
      </c>
      <c r="P565" s="552">
        <f t="shared" si="47"/>
        <v>0</v>
      </c>
    </row>
    <row r="566" spans="3:16">
      <c r="C566" s="548">
        <f>IF(D529="","-",+C565+1)</f>
        <v>2047</v>
      </c>
      <c r="D566" s="506">
        <f t="shared" si="48"/>
        <v>8702938.6349999756</v>
      </c>
      <c r="E566" s="549">
        <f t="shared" si="50"/>
        <v>1450489.7725</v>
      </c>
      <c r="F566" s="549">
        <f t="shared" si="44"/>
        <v>7252448.8624999756</v>
      </c>
      <c r="G566" s="506">
        <f t="shared" si="49"/>
        <v>7977693.7487499751</v>
      </c>
      <c r="H566" s="554">
        <f>+J530*G566+E566</f>
        <v>2330641.6040874282</v>
      </c>
      <c r="I566" s="555">
        <f>+J531*G566+E566</f>
        <v>2330641.6040874282</v>
      </c>
      <c r="J566" s="552">
        <f t="shared" si="51"/>
        <v>0</v>
      </c>
      <c r="K566" s="552"/>
      <c r="L566" s="572"/>
      <c r="M566" s="552">
        <f t="shared" si="45"/>
        <v>0</v>
      </c>
      <c r="N566" s="572"/>
      <c r="O566" s="552">
        <f t="shared" si="46"/>
        <v>0</v>
      </c>
      <c r="P566" s="552">
        <f t="shared" si="47"/>
        <v>0</v>
      </c>
    </row>
    <row r="567" spans="3:16">
      <c r="C567" s="548">
        <f>IF(D529="","-",+C566+1)</f>
        <v>2048</v>
      </c>
      <c r="D567" s="506">
        <f t="shared" si="48"/>
        <v>7252448.8624999756</v>
      </c>
      <c r="E567" s="549">
        <f t="shared" si="50"/>
        <v>1450489.7725</v>
      </c>
      <c r="F567" s="549">
        <f t="shared" si="44"/>
        <v>5801959.0899999756</v>
      </c>
      <c r="G567" s="506">
        <f t="shared" si="49"/>
        <v>6527203.9762499761</v>
      </c>
      <c r="H567" s="554">
        <f>+J530*G567+E567</f>
        <v>2170613.9983442593</v>
      </c>
      <c r="I567" s="555">
        <f>+J531*G567+E567</f>
        <v>2170613.9983442593</v>
      </c>
      <c r="J567" s="552">
        <f t="shared" si="51"/>
        <v>0</v>
      </c>
      <c r="K567" s="552"/>
      <c r="L567" s="572"/>
      <c r="M567" s="552">
        <f t="shared" si="45"/>
        <v>0</v>
      </c>
      <c r="N567" s="572"/>
      <c r="O567" s="552">
        <f t="shared" si="46"/>
        <v>0</v>
      </c>
      <c r="P567" s="552">
        <f t="shared" si="47"/>
        <v>0</v>
      </c>
    </row>
    <row r="568" spans="3:16">
      <c r="C568" s="548">
        <f>IF(D529="","-",+C567+1)</f>
        <v>2049</v>
      </c>
      <c r="D568" s="506">
        <f t="shared" si="48"/>
        <v>5801959.0899999756</v>
      </c>
      <c r="E568" s="549">
        <f t="shared" si="50"/>
        <v>1450489.7725</v>
      </c>
      <c r="F568" s="549">
        <f t="shared" si="44"/>
        <v>4351469.3174999757</v>
      </c>
      <c r="G568" s="506">
        <f t="shared" si="49"/>
        <v>5076714.2037499752</v>
      </c>
      <c r="H568" s="554">
        <f>+J530*G568+E568</f>
        <v>2010586.3926010898</v>
      </c>
      <c r="I568" s="555">
        <f>+J531*G568+E568</f>
        <v>2010586.3926010898</v>
      </c>
      <c r="J568" s="552">
        <f t="shared" si="51"/>
        <v>0</v>
      </c>
      <c r="K568" s="552"/>
      <c r="L568" s="572"/>
      <c r="M568" s="552">
        <f t="shared" si="45"/>
        <v>0</v>
      </c>
      <c r="N568" s="572"/>
      <c r="O568" s="552">
        <f t="shared" si="46"/>
        <v>0</v>
      </c>
      <c r="P568" s="552">
        <f t="shared" si="47"/>
        <v>0</v>
      </c>
    </row>
    <row r="569" spans="3:16">
      <c r="C569" s="548">
        <f>IF(D529="","-",+C568+1)</f>
        <v>2050</v>
      </c>
      <c r="D569" s="506">
        <f t="shared" si="48"/>
        <v>4351469.3174999757</v>
      </c>
      <c r="E569" s="549">
        <f t="shared" si="50"/>
        <v>1450489.7725</v>
      </c>
      <c r="F569" s="549">
        <f t="shared" si="44"/>
        <v>2900979.5449999757</v>
      </c>
      <c r="G569" s="506">
        <f t="shared" si="49"/>
        <v>3626224.4312499757</v>
      </c>
      <c r="H569" s="554">
        <f>+J530*G569+E569</f>
        <v>1850558.7868579205</v>
      </c>
      <c r="I569" s="555">
        <f>+J531*G569+E569</f>
        <v>1850558.7868579205</v>
      </c>
      <c r="J569" s="552">
        <f t="shared" si="51"/>
        <v>0</v>
      </c>
      <c r="K569" s="552"/>
      <c r="L569" s="572"/>
      <c r="M569" s="552">
        <f t="shared" si="45"/>
        <v>0</v>
      </c>
      <c r="N569" s="572"/>
      <c r="O569" s="552">
        <f t="shared" si="46"/>
        <v>0</v>
      </c>
      <c r="P569" s="552">
        <f t="shared" si="47"/>
        <v>0</v>
      </c>
    </row>
    <row r="570" spans="3:16">
      <c r="C570" s="548">
        <f>IF(D529="","-",+C569+1)</f>
        <v>2051</v>
      </c>
      <c r="D570" s="506">
        <f t="shared" si="48"/>
        <v>2900979.5449999757</v>
      </c>
      <c r="E570" s="549">
        <f t="shared" si="50"/>
        <v>1450489.7725</v>
      </c>
      <c r="F570" s="549">
        <f t="shared" si="44"/>
        <v>1450489.7724999757</v>
      </c>
      <c r="G570" s="506">
        <f t="shared" si="49"/>
        <v>2175734.6587499757</v>
      </c>
      <c r="H570" s="554">
        <f>+J530*G570+E570</f>
        <v>1690531.1811147511</v>
      </c>
      <c r="I570" s="555">
        <f>+J531*G570+E570</f>
        <v>1690531.1811147511</v>
      </c>
      <c r="J570" s="552">
        <f t="shared" si="51"/>
        <v>0</v>
      </c>
      <c r="K570" s="552"/>
      <c r="L570" s="572"/>
      <c r="M570" s="552">
        <f t="shared" si="45"/>
        <v>0</v>
      </c>
      <c r="N570" s="572"/>
      <c r="O570" s="552">
        <f t="shared" si="46"/>
        <v>0</v>
      </c>
      <c r="P570" s="552">
        <f t="shared" si="47"/>
        <v>0</v>
      </c>
    </row>
    <row r="571" spans="3:16">
      <c r="C571" s="548">
        <f>IF(D529="","-",+C570+1)</f>
        <v>2052</v>
      </c>
      <c r="D571" s="506">
        <f t="shared" si="48"/>
        <v>1450489.7724999757</v>
      </c>
      <c r="E571" s="549">
        <f t="shared" si="50"/>
        <v>1450489.7724999757</v>
      </c>
      <c r="F571" s="549">
        <f t="shared" si="44"/>
        <v>0</v>
      </c>
      <c r="G571" s="506">
        <f t="shared" si="49"/>
        <v>725244.88624998787</v>
      </c>
      <c r="H571" s="554">
        <f>+J530*G571+E571</f>
        <v>1530503.575371559</v>
      </c>
      <c r="I571" s="555">
        <f>+J531*G571+E571</f>
        <v>1530503.575371559</v>
      </c>
      <c r="J571" s="552">
        <f t="shared" si="51"/>
        <v>0</v>
      </c>
      <c r="K571" s="552"/>
      <c r="L571" s="572"/>
      <c r="M571" s="552">
        <f t="shared" si="45"/>
        <v>0</v>
      </c>
      <c r="N571" s="572"/>
      <c r="O571" s="552">
        <f t="shared" si="46"/>
        <v>0</v>
      </c>
      <c r="P571" s="552">
        <f t="shared" si="47"/>
        <v>0</v>
      </c>
    </row>
    <row r="572" spans="3:16">
      <c r="C572" s="548">
        <f>IF(D529="","-",+C571+1)</f>
        <v>2053</v>
      </c>
      <c r="D572" s="506">
        <f t="shared" si="48"/>
        <v>0</v>
      </c>
      <c r="E572" s="549">
        <f t="shared" si="50"/>
        <v>0</v>
      </c>
      <c r="F572" s="549">
        <f t="shared" si="44"/>
        <v>0</v>
      </c>
      <c r="G572" s="506">
        <f t="shared" si="49"/>
        <v>0</v>
      </c>
      <c r="H572" s="554">
        <f>+J530*G572+E572</f>
        <v>0</v>
      </c>
      <c r="I572" s="555">
        <f>+J531*G572+E572</f>
        <v>0</v>
      </c>
      <c r="J572" s="552">
        <f t="shared" si="51"/>
        <v>0</v>
      </c>
      <c r="K572" s="552"/>
      <c r="L572" s="572"/>
      <c r="M572" s="552">
        <f t="shared" si="45"/>
        <v>0</v>
      </c>
      <c r="N572" s="572"/>
      <c r="O572" s="552">
        <f t="shared" si="46"/>
        <v>0</v>
      </c>
      <c r="P572" s="552">
        <f t="shared" si="47"/>
        <v>0</v>
      </c>
    </row>
    <row r="573" spans="3:16">
      <c r="C573" s="548">
        <f>IF(D529="","-",+C572+1)</f>
        <v>2054</v>
      </c>
      <c r="D573" s="506">
        <f t="shared" si="48"/>
        <v>0</v>
      </c>
      <c r="E573" s="549">
        <f t="shared" si="50"/>
        <v>0</v>
      </c>
      <c r="F573" s="549">
        <f t="shared" si="44"/>
        <v>0</v>
      </c>
      <c r="G573" s="506">
        <f t="shared" si="49"/>
        <v>0</v>
      </c>
      <c r="H573" s="554">
        <f>+J530*G573+E573</f>
        <v>0</v>
      </c>
      <c r="I573" s="555">
        <f>+J531*G573+E573</f>
        <v>0</v>
      </c>
      <c r="J573" s="552">
        <f t="shared" si="51"/>
        <v>0</v>
      </c>
      <c r="K573" s="552"/>
      <c r="L573" s="572"/>
      <c r="M573" s="552">
        <f t="shared" si="45"/>
        <v>0</v>
      </c>
      <c r="N573" s="572"/>
      <c r="O573" s="552">
        <f t="shared" si="46"/>
        <v>0</v>
      </c>
      <c r="P573" s="552">
        <f t="shared" si="47"/>
        <v>0</v>
      </c>
    </row>
    <row r="574" spans="3:16">
      <c r="C574" s="548">
        <f>IF(D529="","-",+C573+1)</f>
        <v>2055</v>
      </c>
      <c r="D574" s="506">
        <f t="shared" si="48"/>
        <v>0</v>
      </c>
      <c r="E574" s="549">
        <f t="shared" si="50"/>
        <v>0</v>
      </c>
      <c r="F574" s="549">
        <f t="shared" si="44"/>
        <v>0</v>
      </c>
      <c r="G574" s="506">
        <f t="shared" si="49"/>
        <v>0</v>
      </c>
      <c r="H574" s="554">
        <f>+J530*G574+E574</f>
        <v>0</v>
      </c>
      <c r="I574" s="555">
        <f>+J531*G574+E574</f>
        <v>0</v>
      </c>
      <c r="J574" s="552">
        <f t="shared" si="51"/>
        <v>0</v>
      </c>
      <c r="K574" s="552"/>
      <c r="L574" s="572"/>
      <c r="M574" s="552">
        <f t="shared" si="45"/>
        <v>0</v>
      </c>
      <c r="N574" s="572"/>
      <c r="O574" s="552">
        <f t="shared" si="46"/>
        <v>0</v>
      </c>
      <c r="P574" s="552">
        <f t="shared" si="47"/>
        <v>0</v>
      </c>
    </row>
    <row r="575" spans="3:16">
      <c r="C575" s="548">
        <f>IF(D529="","-",+C574+1)</f>
        <v>2056</v>
      </c>
      <c r="D575" s="506">
        <f t="shared" si="48"/>
        <v>0</v>
      </c>
      <c r="E575" s="549">
        <f t="shared" si="50"/>
        <v>0</v>
      </c>
      <c r="F575" s="549">
        <f t="shared" si="44"/>
        <v>0</v>
      </c>
      <c r="G575" s="506">
        <f t="shared" si="49"/>
        <v>0</v>
      </c>
      <c r="H575" s="554">
        <f>+J530*G575+E575</f>
        <v>0</v>
      </c>
      <c r="I575" s="555">
        <f>+J531*G575+E575</f>
        <v>0</v>
      </c>
      <c r="J575" s="552">
        <f t="shared" si="51"/>
        <v>0</v>
      </c>
      <c r="K575" s="552"/>
      <c r="L575" s="572"/>
      <c r="M575" s="552">
        <f t="shared" si="45"/>
        <v>0</v>
      </c>
      <c r="N575" s="572"/>
      <c r="O575" s="552">
        <f t="shared" si="46"/>
        <v>0</v>
      </c>
      <c r="P575" s="552">
        <f t="shared" si="47"/>
        <v>0</v>
      </c>
    </row>
    <row r="576" spans="3:16">
      <c r="C576" s="548">
        <f>IF(D529="","-",+C575+1)</f>
        <v>2057</v>
      </c>
      <c r="D576" s="506">
        <f t="shared" si="48"/>
        <v>0</v>
      </c>
      <c r="E576" s="549">
        <f t="shared" si="50"/>
        <v>0</v>
      </c>
      <c r="F576" s="549">
        <f t="shared" si="44"/>
        <v>0</v>
      </c>
      <c r="G576" s="506">
        <f t="shared" si="49"/>
        <v>0</v>
      </c>
      <c r="H576" s="554">
        <f>+J530*G576+E576</f>
        <v>0</v>
      </c>
      <c r="I576" s="555">
        <f>+J531*G576+E576</f>
        <v>0</v>
      </c>
      <c r="J576" s="552">
        <f t="shared" si="51"/>
        <v>0</v>
      </c>
      <c r="K576" s="552"/>
      <c r="L576" s="572"/>
      <c r="M576" s="552">
        <f t="shared" si="45"/>
        <v>0</v>
      </c>
      <c r="N576" s="572"/>
      <c r="O576" s="552">
        <f t="shared" si="46"/>
        <v>0</v>
      </c>
      <c r="P576" s="552">
        <f t="shared" si="47"/>
        <v>0</v>
      </c>
    </row>
    <row r="577" spans="3:16">
      <c r="C577" s="548">
        <f>IF(D529="","-",+C576+1)</f>
        <v>2058</v>
      </c>
      <c r="D577" s="506">
        <f t="shared" si="48"/>
        <v>0</v>
      </c>
      <c r="E577" s="549">
        <f t="shared" si="50"/>
        <v>0</v>
      </c>
      <c r="F577" s="549">
        <f t="shared" si="44"/>
        <v>0</v>
      </c>
      <c r="G577" s="506">
        <f t="shared" si="49"/>
        <v>0</v>
      </c>
      <c r="H577" s="554">
        <f>+J530*G577+E577</f>
        <v>0</v>
      </c>
      <c r="I577" s="555">
        <f>+J531*G577+E577</f>
        <v>0</v>
      </c>
      <c r="J577" s="552">
        <f t="shared" si="51"/>
        <v>0</v>
      </c>
      <c r="K577" s="552"/>
      <c r="L577" s="572"/>
      <c r="M577" s="552">
        <f t="shared" si="45"/>
        <v>0</v>
      </c>
      <c r="N577" s="572"/>
      <c r="O577" s="552">
        <f t="shared" si="46"/>
        <v>0</v>
      </c>
      <c r="P577" s="552">
        <f t="shared" si="47"/>
        <v>0</v>
      </c>
    </row>
    <row r="578" spans="3:16">
      <c r="C578" s="548">
        <f>IF(D529="","-",+C577+1)</f>
        <v>2059</v>
      </c>
      <c r="D578" s="506">
        <f t="shared" si="48"/>
        <v>0</v>
      </c>
      <c r="E578" s="549">
        <f t="shared" si="50"/>
        <v>0</v>
      </c>
      <c r="F578" s="549">
        <f t="shared" si="44"/>
        <v>0</v>
      </c>
      <c r="G578" s="506">
        <f t="shared" si="49"/>
        <v>0</v>
      </c>
      <c r="H578" s="554">
        <f>+J530*G578+E578</f>
        <v>0</v>
      </c>
      <c r="I578" s="555">
        <f>+J531*G578+E578</f>
        <v>0</v>
      </c>
      <c r="J578" s="552">
        <f t="shared" si="51"/>
        <v>0</v>
      </c>
      <c r="K578" s="552"/>
      <c r="L578" s="572"/>
      <c r="M578" s="552">
        <f t="shared" si="45"/>
        <v>0</v>
      </c>
      <c r="N578" s="572"/>
      <c r="O578" s="552">
        <f t="shared" si="46"/>
        <v>0</v>
      </c>
      <c r="P578" s="552">
        <f t="shared" si="47"/>
        <v>0</v>
      </c>
    </row>
    <row r="579" spans="3:16">
      <c r="C579" s="548">
        <f>IF(D529="","-",+C578+1)</f>
        <v>2060</v>
      </c>
      <c r="D579" s="506">
        <f t="shared" si="48"/>
        <v>0</v>
      </c>
      <c r="E579" s="549">
        <f t="shared" si="50"/>
        <v>0</v>
      </c>
      <c r="F579" s="549">
        <f t="shared" si="44"/>
        <v>0</v>
      </c>
      <c r="G579" s="506">
        <f t="shared" si="49"/>
        <v>0</v>
      </c>
      <c r="H579" s="554">
        <f>+J530*G579+E579</f>
        <v>0</v>
      </c>
      <c r="I579" s="555">
        <f>+J531*G579+E579</f>
        <v>0</v>
      </c>
      <c r="J579" s="552">
        <f t="shared" si="51"/>
        <v>0</v>
      </c>
      <c r="K579" s="552"/>
      <c r="L579" s="572"/>
      <c r="M579" s="552">
        <f t="shared" si="45"/>
        <v>0</v>
      </c>
      <c r="N579" s="572"/>
      <c r="O579" s="552">
        <f t="shared" si="46"/>
        <v>0</v>
      </c>
      <c r="P579" s="552">
        <f t="shared" si="47"/>
        <v>0</v>
      </c>
    </row>
    <row r="580" spans="3:16">
      <c r="C580" s="548">
        <f>IF(D529="","-",+C579+1)</f>
        <v>2061</v>
      </c>
      <c r="D580" s="506">
        <f t="shared" si="48"/>
        <v>0</v>
      </c>
      <c r="E580" s="549">
        <f t="shared" si="50"/>
        <v>0</v>
      </c>
      <c r="F580" s="549">
        <f t="shared" si="44"/>
        <v>0</v>
      </c>
      <c r="G580" s="506">
        <f t="shared" si="49"/>
        <v>0</v>
      </c>
      <c r="H580" s="554">
        <f>+J530*G580+E580</f>
        <v>0</v>
      </c>
      <c r="I580" s="555">
        <f>+J531*G580+E580</f>
        <v>0</v>
      </c>
      <c r="J580" s="552">
        <f t="shared" si="51"/>
        <v>0</v>
      </c>
      <c r="K580" s="552"/>
      <c r="L580" s="572"/>
      <c r="M580" s="552">
        <f t="shared" si="45"/>
        <v>0</v>
      </c>
      <c r="N580" s="572"/>
      <c r="O580" s="552">
        <f t="shared" si="46"/>
        <v>0</v>
      </c>
      <c r="P580" s="552">
        <f t="shared" si="47"/>
        <v>0</v>
      </c>
    </row>
    <row r="581" spans="3:16">
      <c r="C581" s="548">
        <f>IF(D529="","-",+C580+1)</f>
        <v>2062</v>
      </c>
      <c r="D581" s="506">
        <f t="shared" si="48"/>
        <v>0</v>
      </c>
      <c r="E581" s="549">
        <f t="shared" si="50"/>
        <v>0</v>
      </c>
      <c r="F581" s="549">
        <f t="shared" si="44"/>
        <v>0</v>
      </c>
      <c r="G581" s="506">
        <f t="shared" si="49"/>
        <v>0</v>
      </c>
      <c r="H581" s="554">
        <f>+J530*G581+E581</f>
        <v>0</v>
      </c>
      <c r="I581" s="555">
        <f>+J531*G581+E581</f>
        <v>0</v>
      </c>
      <c r="J581" s="552">
        <f t="shared" si="51"/>
        <v>0</v>
      </c>
      <c r="K581" s="552"/>
      <c r="L581" s="572"/>
      <c r="M581" s="552">
        <f t="shared" si="45"/>
        <v>0</v>
      </c>
      <c r="N581" s="572"/>
      <c r="O581" s="552">
        <f t="shared" si="46"/>
        <v>0</v>
      </c>
      <c r="P581" s="552">
        <f t="shared" si="47"/>
        <v>0</v>
      </c>
    </row>
    <row r="582" spans="3:16">
      <c r="C582" s="548">
        <f>IF(D529="","-",+C581+1)</f>
        <v>2063</v>
      </c>
      <c r="D582" s="506">
        <f t="shared" si="48"/>
        <v>0</v>
      </c>
      <c r="E582" s="549">
        <f t="shared" si="50"/>
        <v>0</v>
      </c>
      <c r="F582" s="549">
        <f t="shared" si="44"/>
        <v>0</v>
      </c>
      <c r="G582" s="506">
        <f t="shared" si="49"/>
        <v>0</v>
      </c>
      <c r="H582" s="554">
        <f>+J530*G582+E582</f>
        <v>0</v>
      </c>
      <c r="I582" s="555">
        <f>+J531*G582+E582</f>
        <v>0</v>
      </c>
      <c r="J582" s="552">
        <f t="shared" si="51"/>
        <v>0</v>
      </c>
      <c r="K582" s="552"/>
      <c r="L582" s="572"/>
      <c r="M582" s="552">
        <f t="shared" si="45"/>
        <v>0</v>
      </c>
      <c r="N582" s="572"/>
      <c r="O582" s="552">
        <f t="shared" si="46"/>
        <v>0</v>
      </c>
      <c r="P582" s="552">
        <f t="shared" si="47"/>
        <v>0</v>
      </c>
    </row>
    <row r="583" spans="3:16">
      <c r="C583" s="548">
        <f>IF(D529="","-",+C582+1)</f>
        <v>2064</v>
      </c>
      <c r="D583" s="506">
        <f t="shared" si="48"/>
        <v>0</v>
      </c>
      <c r="E583" s="549">
        <f t="shared" si="50"/>
        <v>0</v>
      </c>
      <c r="F583" s="549">
        <f t="shared" si="44"/>
        <v>0</v>
      </c>
      <c r="G583" s="506">
        <f t="shared" si="49"/>
        <v>0</v>
      </c>
      <c r="H583" s="554">
        <f>+J530*G583+E583</f>
        <v>0</v>
      </c>
      <c r="I583" s="555">
        <f>+J531*G583+E583</f>
        <v>0</v>
      </c>
      <c r="J583" s="552">
        <f t="shared" si="51"/>
        <v>0</v>
      </c>
      <c r="K583" s="552"/>
      <c r="L583" s="572"/>
      <c r="M583" s="552">
        <f t="shared" si="45"/>
        <v>0</v>
      </c>
      <c r="N583" s="572"/>
      <c r="O583" s="552">
        <f t="shared" si="46"/>
        <v>0</v>
      </c>
      <c r="P583" s="552">
        <f t="shared" si="47"/>
        <v>0</v>
      </c>
    </row>
    <row r="584" spans="3:16">
      <c r="C584" s="548">
        <f>IF(D529="","-",+C583+1)</f>
        <v>2065</v>
      </c>
      <c r="D584" s="506">
        <f t="shared" si="48"/>
        <v>0</v>
      </c>
      <c r="E584" s="549">
        <f t="shared" si="50"/>
        <v>0</v>
      </c>
      <c r="F584" s="549">
        <f t="shared" si="44"/>
        <v>0</v>
      </c>
      <c r="G584" s="506">
        <f t="shared" si="49"/>
        <v>0</v>
      </c>
      <c r="H584" s="554">
        <f>+J530*G584+E584</f>
        <v>0</v>
      </c>
      <c r="I584" s="555">
        <f>+J531*G584+E584</f>
        <v>0</v>
      </c>
      <c r="J584" s="552">
        <f t="shared" si="51"/>
        <v>0</v>
      </c>
      <c r="K584" s="552"/>
      <c r="L584" s="572"/>
      <c r="M584" s="552">
        <f t="shared" si="45"/>
        <v>0</v>
      </c>
      <c r="N584" s="572"/>
      <c r="O584" s="552">
        <f t="shared" si="46"/>
        <v>0</v>
      </c>
      <c r="P584" s="552">
        <f t="shared" si="47"/>
        <v>0</v>
      </c>
    </row>
    <row r="585" spans="3:16">
      <c r="C585" s="548">
        <f>IF(D529="","-",+C584+1)</f>
        <v>2066</v>
      </c>
      <c r="D585" s="506">
        <f t="shared" si="48"/>
        <v>0</v>
      </c>
      <c r="E585" s="549">
        <f t="shared" si="50"/>
        <v>0</v>
      </c>
      <c r="F585" s="549">
        <f t="shared" si="44"/>
        <v>0</v>
      </c>
      <c r="G585" s="506">
        <f t="shared" si="49"/>
        <v>0</v>
      </c>
      <c r="H585" s="554">
        <f>+J530*G585+E585</f>
        <v>0</v>
      </c>
      <c r="I585" s="555">
        <f>+J531*G585+E585</f>
        <v>0</v>
      </c>
      <c r="J585" s="552">
        <f t="shared" si="51"/>
        <v>0</v>
      </c>
      <c r="K585" s="552"/>
      <c r="L585" s="572"/>
      <c r="M585" s="552">
        <f t="shared" si="45"/>
        <v>0</v>
      </c>
      <c r="N585" s="572"/>
      <c r="O585" s="552">
        <f t="shared" si="46"/>
        <v>0</v>
      </c>
      <c r="P585" s="552">
        <f t="shared" si="47"/>
        <v>0</v>
      </c>
    </row>
    <row r="586" spans="3:16">
      <c r="C586" s="548">
        <f>IF(D529="","-",+C585+1)</f>
        <v>2067</v>
      </c>
      <c r="D586" s="506">
        <f t="shared" si="48"/>
        <v>0</v>
      </c>
      <c r="E586" s="549">
        <f t="shared" si="50"/>
        <v>0</v>
      </c>
      <c r="F586" s="549">
        <f t="shared" si="44"/>
        <v>0</v>
      </c>
      <c r="G586" s="506">
        <f t="shared" si="49"/>
        <v>0</v>
      </c>
      <c r="H586" s="554">
        <f>+J530*G586+E586</f>
        <v>0</v>
      </c>
      <c r="I586" s="555">
        <f>+J531*G586+E586</f>
        <v>0</v>
      </c>
      <c r="J586" s="552">
        <f t="shared" si="51"/>
        <v>0</v>
      </c>
      <c r="K586" s="552"/>
      <c r="L586" s="572"/>
      <c r="M586" s="552">
        <f t="shared" si="45"/>
        <v>0</v>
      </c>
      <c r="N586" s="572"/>
      <c r="O586" s="552">
        <f t="shared" si="46"/>
        <v>0</v>
      </c>
      <c r="P586" s="552">
        <f t="shared" si="47"/>
        <v>0</v>
      </c>
    </row>
    <row r="587" spans="3:16">
      <c r="C587" s="548">
        <f>IF(D529="","-",+C586+1)</f>
        <v>2068</v>
      </c>
      <c r="D587" s="506">
        <f t="shared" si="48"/>
        <v>0</v>
      </c>
      <c r="E587" s="549">
        <f t="shared" si="50"/>
        <v>0</v>
      </c>
      <c r="F587" s="549">
        <f t="shared" si="44"/>
        <v>0</v>
      </c>
      <c r="G587" s="506">
        <f t="shared" si="49"/>
        <v>0</v>
      </c>
      <c r="H587" s="554">
        <f>+J530*G587+E587</f>
        <v>0</v>
      </c>
      <c r="I587" s="555">
        <f>+J531*G587+E587</f>
        <v>0</v>
      </c>
      <c r="J587" s="552">
        <f t="shared" si="51"/>
        <v>0</v>
      </c>
      <c r="K587" s="552"/>
      <c r="L587" s="572"/>
      <c r="M587" s="552">
        <f t="shared" si="45"/>
        <v>0</v>
      </c>
      <c r="N587" s="572"/>
      <c r="O587" s="552">
        <f t="shared" si="46"/>
        <v>0</v>
      </c>
      <c r="P587" s="552">
        <f t="shared" si="47"/>
        <v>0</v>
      </c>
    </row>
    <row r="588" spans="3:16">
      <c r="C588" s="548">
        <f>IF(D529="","-",+C587+1)</f>
        <v>2069</v>
      </c>
      <c r="D588" s="506">
        <f t="shared" si="48"/>
        <v>0</v>
      </c>
      <c r="E588" s="549">
        <f t="shared" si="50"/>
        <v>0</v>
      </c>
      <c r="F588" s="549">
        <f t="shared" si="44"/>
        <v>0</v>
      </c>
      <c r="G588" s="506">
        <f t="shared" si="49"/>
        <v>0</v>
      </c>
      <c r="H588" s="554">
        <f>+J530*G588+E588</f>
        <v>0</v>
      </c>
      <c r="I588" s="555">
        <f>+J531*G588+E588</f>
        <v>0</v>
      </c>
      <c r="J588" s="552">
        <f t="shared" si="51"/>
        <v>0</v>
      </c>
      <c r="K588" s="552"/>
      <c r="L588" s="572"/>
      <c r="M588" s="552">
        <f t="shared" si="45"/>
        <v>0</v>
      </c>
      <c r="N588" s="572"/>
      <c r="O588" s="552">
        <f t="shared" si="46"/>
        <v>0</v>
      </c>
      <c r="P588" s="552">
        <f t="shared" si="47"/>
        <v>0</v>
      </c>
    </row>
    <row r="589" spans="3:16">
      <c r="C589" s="548">
        <f>IF(D529="","-",+C588+1)</f>
        <v>2070</v>
      </c>
      <c r="D589" s="506">
        <f t="shared" ref="D589:D594" si="52">F588</f>
        <v>0</v>
      </c>
      <c r="E589" s="549">
        <f t="shared" si="50"/>
        <v>0</v>
      </c>
      <c r="F589" s="549">
        <f t="shared" si="44"/>
        <v>0</v>
      </c>
      <c r="G589" s="506">
        <f t="shared" si="49"/>
        <v>0</v>
      </c>
      <c r="H589" s="554">
        <f>+J530*G589+E589</f>
        <v>0</v>
      </c>
      <c r="I589" s="555">
        <f>+J531*G589+E589</f>
        <v>0</v>
      </c>
      <c r="J589" s="552">
        <f t="shared" si="51"/>
        <v>0</v>
      </c>
      <c r="K589" s="552"/>
      <c r="L589" s="572"/>
      <c r="M589" s="552">
        <f t="shared" si="45"/>
        <v>0</v>
      </c>
      <c r="N589" s="572"/>
      <c r="O589" s="552">
        <f t="shared" si="46"/>
        <v>0</v>
      </c>
      <c r="P589" s="552">
        <f t="shared" si="47"/>
        <v>0</v>
      </c>
    </row>
    <row r="590" spans="3:16">
      <c r="C590" s="548">
        <f>IF(D529="","-",+C589+1)</f>
        <v>2071</v>
      </c>
      <c r="D590" s="506">
        <f t="shared" si="52"/>
        <v>0</v>
      </c>
      <c r="E590" s="549">
        <f t="shared" si="50"/>
        <v>0</v>
      </c>
      <c r="F590" s="549">
        <f t="shared" si="44"/>
        <v>0</v>
      </c>
      <c r="G590" s="506">
        <f t="shared" si="49"/>
        <v>0</v>
      </c>
      <c r="H590" s="554">
        <f>+J530*G590+E590</f>
        <v>0</v>
      </c>
      <c r="I590" s="555">
        <f>+J531*G590+E590</f>
        <v>0</v>
      </c>
      <c r="J590" s="552">
        <f t="shared" si="51"/>
        <v>0</v>
      </c>
      <c r="K590" s="552"/>
      <c r="L590" s="572"/>
      <c r="M590" s="552">
        <f t="shared" si="45"/>
        <v>0</v>
      </c>
      <c r="N590" s="572"/>
      <c r="O590" s="552">
        <f t="shared" si="46"/>
        <v>0</v>
      </c>
      <c r="P590" s="552">
        <f t="shared" si="47"/>
        <v>0</v>
      </c>
    </row>
    <row r="591" spans="3:16">
      <c r="C591" s="548">
        <f>IF(D529="","-",+C590+1)</f>
        <v>2072</v>
      </c>
      <c r="D591" s="506">
        <f t="shared" si="52"/>
        <v>0</v>
      </c>
      <c r="E591" s="549">
        <f t="shared" si="50"/>
        <v>0</v>
      </c>
      <c r="F591" s="549">
        <f t="shared" si="44"/>
        <v>0</v>
      </c>
      <c r="G591" s="506">
        <f t="shared" si="49"/>
        <v>0</v>
      </c>
      <c r="H591" s="554">
        <f>+J530*G591+E591</f>
        <v>0</v>
      </c>
      <c r="I591" s="555">
        <f>+J531*G591+E591</f>
        <v>0</v>
      </c>
      <c r="J591" s="552">
        <f t="shared" si="51"/>
        <v>0</v>
      </c>
      <c r="K591" s="552"/>
      <c r="L591" s="572"/>
      <c r="M591" s="552">
        <f t="shared" si="45"/>
        <v>0</v>
      </c>
      <c r="N591" s="572"/>
      <c r="O591" s="552">
        <f t="shared" si="46"/>
        <v>0</v>
      </c>
      <c r="P591" s="552">
        <f t="shared" si="47"/>
        <v>0</v>
      </c>
    </row>
    <row r="592" spans="3:16">
      <c r="C592" s="548">
        <f>IF(D529="","-",+C591+1)</f>
        <v>2073</v>
      </c>
      <c r="D592" s="506">
        <f t="shared" si="52"/>
        <v>0</v>
      </c>
      <c r="E592" s="549">
        <f t="shared" si="50"/>
        <v>0</v>
      </c>
      <c r="F592" s="549">
        <f t="shared" si="44"/>
        <v>0</v>
      </c>
      <c r="G592" s="506">
        <f t="shared" si="49"/>
        <v>0</v>
      </c>
      <c r="H592" s="554">
        <f>+J530*G592+E592</f>
        <v>0</v>
      </c>
      <c r="I592" s="555">
        <f>+J531*G592+E592</f>
        <v>0</v>
      </c>
      <c r="J592" s="552">
        <f t="shared" si="51"/>
        <v>0</v>
      </c>
      <c r="K592" s="552"/>
      <c r="L592" s="572"/>
      <c r="M592" s="552">
        <f t="shared" si="45"/>
        <v>0</v>
      </c>
      <c r="N592" s="572"/>
      <c r="O592" s="552">
        <f t="shared" si="46"/>
        <v>0</v>
      </c>
      <c r="P592" s="552">
        <f t="shared" si="47"/>
        <v>0</v>
      </c>
    </row>
    <row r="593" spans="1:17">
      <c r="C593" s="548">
        <f>IF(D529="","-",+C592+1)</f>
        <v>2074</v>
      </c>
      <c r="D593" s="506">
        <f t="shared" si="52"/>
        <v>0</v>
      </c>
      <c r="E593" s="549">
        <f t="shared" si="50"/>
        <v>0</v>
      </c>
      <c r="F593" s="549">
        <f t="shared" si="44"/>
        <v>0</v>
      </c>
      <c r="G593" s="506">
        <f t="shared" si="49"/>
        <v>0</v>
      </c>
      <c r="H593" s="554">
        <f>+J530*G593+E593</f>
        <v>0</v>
      </c>
      <c r="I593" s="555">
        <f>+J531*G593+E593</f>
        <v>0</v>
      </c>
      <c r="J593" s="552">
        <f t="shared" si="51"/>
        <v>0</v>
      </c>
      <c r="K593" s="552"/>
      <c r="L593" s="572"/>
      <c r="M593" s="552">
        <f t="shared" si="45"/>
        <v>0</v>
      </c>
      <c r="N593" s="572"/>
      <c r="O593" s="552">
        <f t="shared" si="46"/>
        <v>0</v>
      </c>
      <c r="P593" s="552">
        <f t="shared" si="47"/>
        <v>0</v>
      </c>
    </row>
    <row r="594" spans="1:17" ht="13.5" thickBot="1">
      <c r="C594" s="558">
        <f>IF(D529="","-",+C593+1)</f>
        <v>2075</v>
      </c>
      <c r="D594" s="559">
        <f t="shared" si="52"/>
        <v>0</v>
      </c>
      <c r="E594" s="560">
        <f t="shared" si="50"/>
        <v>0</v>
      </c>
      <c r="F594" s="560">
        <f t="shared" si="44"/>
        <v>0</v>
      </c>
      <c r="G594" s="559">
        <f t="shared" si="49"/>
        <v>0</v>
      </c>
      <c r="H594" s="561">
        <f>+J530*G594+E594</f>
        <v>0</v>
      </c>
      <c r="I594" s="561">
        <f>+J531*G594+E594</f>
        <v>0</v>
      </c>
      <c r="J594" s="562">
        <f t="shared" si="51"/>
        <v>0</v>
      </c>
      <c r="K594" s="552"/>
      <c r="L594" s="573"/>
      <c r="M594" s="562">
        <f t="shared" si="45"/>
        <v>0</v>
      </c>
      <c r="N594" s="573"/>
      <c r="O594" s="562">
        <f t="shared" si="46"/>
        <v>0</v>
      </c>
      <c r="P594" s="562">
        <f t="shared" si="47"/>
        <v>0</v>
      </c>
    </row>
    <row r="595" spans="1:17">
      <c r="C595" s="506" t="s">
        <v>91</v>
      </c>
      <c r="D595" s="503"/>
      <c r="E595" s="503">
        <f>SUM(E535:E594)</f>
        <v>52217631.810000002</v>
      </c>
      <c r="F595" s="503"/>
      <c r="G595" s="503"/>
      <c r="H595" s="503">
        <f>SUM(H535:H594)</f>
        <v>161676514.13832784</v>
      </c>
      <c r="I595" s="503">
        <f>SUM(I535:I594)</f>
        <v>161676514.13832784</v>
      </c>
      <c r="J595" s="503">
        <f>SUM(J535:J594)</f>
        <v>0</v>
      </c>
      <c r="K595" s="503"/>
      <c r="L595" s="503"/>
      <c r="M595" s="503"/>
      <c r="N595" s="503"/>
      <c r="O595" s="503"/>
    </row>
    <row r="596" spans="1:17">
      <c r="D596" s="47"/>
      <c r="E596" s="3"/>
      <c r="F596" s="3"/>
      <c r="G596" s="3"/>
      <c r="H596" s="3"/>
      <c r="I596" s="490"/>
      <c r="J596" s="490"/>
      <c r="K596" s="503"/>
      <c r="L596" s="490"/>
      <c r="M596" s="490"/>
      <c r="N596" s="490"/>
      <c r="O596" s="490"/>
    </row>
    <row r="597" spans="1:17">
      <c r="C597" s="3" t="s">
        <v>13</v>
      </c>
      <c r="D597" s="47"/>
      <c r="E597" s="3"/>
      <c r="F597" s="3"/>
      <c r="G597" s="3"/>
      <c r="H597" s="3"/>
      <c r="I597" s="490"/>
      <c r="J597" s="490"/>
      <c r="K597" s="503"/>
      <c r="L597" s="490"/>
      <c r="M597" s="490"/>
      <c r="N597" s="490"/>
      <c r="O597" s="490"/>
    </row>
    <row r="598" spans="1:17">
      <c r="C598" s="3"/>
      <c r="D598" s="47"/>
      <c r="E598" s="3"/>
      <c r="F598" s="3"/>
      <c r="G598" s="3"/>
      <c r="H598" s="3"/>
      <c r="I598" s="490"/>
      <c r="J598" s="490"/>
      <c r="K598" s="503"/>
      <c r="L598" s="490"/>
      <c r="M598" s="490"/>
      <c r="N598" s="490"/>
      <c r="O598" s="490"/>
    </row>
    <row r="599" spans="1:17">
      <c r="C599" s="518" t="s">
        <v>14</v>
      </c>
      <c r="D599" s="506"/>
      <c r="E599" s="506"/>
      <c r="F599" s="506"/>
      <c r="G599" s="506"/>
      <c r="H599" s="503"/>
      <c r="I599" s="503"/>
      <c r="J599" s="564"/>
      <c r="K599" s="564"/>
      <c r="L599" s="564"/>
      <c r="M599" s="564"/>
      <c r="N599" s="564"/>
      <c r="O599" s="564"/>
    </row>
    <row r="600" spans="1:17">
      <c r="C600" s="507" t="s">
        <v>271</v>
      </c>
      <c r="D600" s="506"/>
      <c r="E600" s="506"/>
      <c r="F600" s="506"/>
      <c r="G600" s="506"/>
      <c r="H600" s="503"/>
      <c r="I600" s="503"/>
      <c r="J600" s="564"/>
      <c r="K600" s="564"/>
      <c r="L600" s="564"/>
      <c r="M600" s="564"/>
      <c r="N600" s="564"/>
      <c r="O600" s="564"/>
    </row>
    <row r="601" spans="1:17">
      <c r="C601" s="507" t="s">
        <v>92</v>
      </c>
      <c r="D601" s="506"/>
      <c r="E601" s="506"/>
      <c r="F601" s="506"/>
      <c r="G601" s="506"/>
      <c r="H601" s="503"/>
      <c r="I601" s="503"/>
      <c r="J601" s="564"/>
      <c r="K601" s="564"/>
      <c r="L601" s="564"/>
      <c r="M601" s="564"/>
      <c r="N601" s="564"/>
      <c r="O601" s="564"/>
    </row>
    <row r="602" spans="1:17">
      <c r="C602" s="507"/>
      <c r="D602" s="506"/>
      <c r="E602" s="506"/>
      <c r="F602" s="506"/>
      <c r="G602" s="506"/>
      <c r="H602" s="503"/>
      <c r="I602" s="503"/>
      <c r="J602" s="564"/>
      <c r="K602" s="564"/>
      <c r="L602" s="564"/>
      <c r="M602" s="564"/>
      <c r="N602" s="564"/>
      <c r="O602" s="564"/>
    </row>
    <row r="603" spans="1:17" ht="20.25">
      <c r="A603" s="447" t="str">
        <f>""&amp;A524&amp;" Worksheet K -  ATRR TRUE-UP Calculation for PJM Projects Charged to Benefiting Zones"</f>
        <v xml:space="preserve"> Worksheet K -  ATRR TRUE-UP Calculation for PJM Projects Charged to Benefiting Zones</v>
      </c>
      <c r="B603" s="3"/>
      <c r="C603" s="3"/>
      <c r="D603" s="47"/>
      <c r="E603" s="3"/>
      <c r="F603" s="489"/>
      <c r="G603" s="489"/>
      <c r="H603" s="3"/>
      <c r="I603" s="490"/>
      <c r="L603" s="398"/>
      <c r="M603" s="398"/>
      <c r="N603" s="398"/>
      <c r="O603" s="398" t="str">
        <f>"Page "&amp;SUM(Q$8:Q603)&amp;" of "</f>
        <v xml:space="preserve">Page 7 of </v>
      </c>
      <c r="P603" s="448">
        <f>COUNT(Q$8:Q$56657)</f>
        <v>10</v>
      </c>
      <c r="Q603">
        <v>1</v>
      </c>
    </row>
    <row r="604" spans="1:17">
      <c r="B604" s="3"/>
      <c r="C604" s="3"/>
      <c r="D604" s="47"/>
      <c r="E604" s="3"/>
      <c r="F604" s="3"/>
      <c r="G604" s="3"/>
      <c r="H604" s="3"/>
      <c r="I604" s="490"/>
      <c r="J604" s="3"/>
      <c r="K604" s="3"/>
    </row>
    <row r="605" spans="1:17" ht="18">
      <c r="B605" s="449" t="s">
        <v>472</v>
      </c>
      <c r="C605" s="122" t="s">
        <v>93</v>
      </c>
      <c r="D605" s="47"/>
      <c r="E605" s="3"/>
      <c r="F605" s="3"/>
      <c r="G605" s="3"/>
      <c r="H605" s="3"/>
      <c r="I605" s="490"/>
      <c r="J605" s="490"/>
      <c r="K605" s="503"/>
      <c r="L605" s="490"/>
      <c r="M605" s="490"/>
      <c r="N605" s="490"/>
      <c r="O605" s="490"/>
    </row>
    <row r="606" spans="1:17" ht="18.75">
      <c r="B606" s="449"/>
      <c r="C606" s="6"/>
      <c r="D606" s="47"/>
      <c r="E606" s="3"/>
      <c r="F606" s="3"/>
      <c r="G606" s="3"/>
      <c r="H606" s="3"/>
      <c r="I606" s="490"/>
      <c r="J606" s="490"/>
      <c r="K606" s="503"/>
      <c r="L606" s="490"/>
      <c r="M606" s="490"/>
      <c r="N606" s="490"/>
      <c r="O606" s="490"/>
    </row>
    <row r="607" spans="1:17" ht="18.75">
      <c r="B607" s="449"/>
      <c r="C607" s="6" t="s">
        <v>94</v>
      </c>
      <c r="D607" s="47"/>
      <c r="E607" s="3"/>
      <c r="F607" s="3"/>
      <c r="G607" s="3"/>
      <c r="H607" s="3"/>
      <c r="I607" s="490"/>
      <c r="J607" s="490"/>
      <c r="K607" s="503"/>
      <c r="L607" s="490"/>
      <c r="M607" s="490"/>
      <c r="N607" s="490"/>
      <c r="O607" s="490"/>
    </row>
    <row r="608" spans="1:17" ht="15.75" thickBot="1">
      <c r="C608" s="132"/>
      <c r="D608" s="47"/>
      <c r="E608" s="3"/>
      <c r="F608" s="3"/>
      <c r="G608" s="3"/>
      <c r="H608" s="3"/>
      <c r="I608" s="490"/>
      <c r="J608" s="490"/>
      <c r="K608" s="503"/>
      <c r="L608" s="490"/>
      <c r="M608" s="490"/>
      <c r="N608" s="490"/>
      <c r="O608" s="490"/>
    </row>
    <row r="609" spans="1:16" ht="15.75">
      <c r="C609" s="451" t="s">
        <v>95</v>
      </c>
      <c r="D609" s="47"/>
      <c r="E609" s="3"/>
      <c r="F609" s="3"/>
      <c r="G609" s="3"/>
      <c r="H609" s="566"/>
      <c r="I609" s="3" t="s">
        <v>74</v>
      </c>
      <c r="J609" s="3"/>
      <c r="K609" s="3"/>
      <c r="L609" s="593">
        <f>+J615</f>
        <v>2025</v>
      </c>
      <c r="M609" s="576" t="s">
        <v>52</v>
      </c>
      <c r="N609" s="576" t="s">
        <v>53</v>
      </c>
      <c r="O609" s="577" t="s">
        <v>55</v>
      </c>
    </row>
    <row r="610" spans="1:16" ht="15.75">
      <c r="C610" s="451"/>
      <c r="D610" s="47"/>
      <c r="E610" s="3"/>
      <c r="F610" s="3"/>
      <c r="H610" s="3"/>
      <c r="I610" s="513"/>
      <c r="J610" s="513"/>
      <c r="K610" s="514"/>
      <c r="L610" s="594" t="s">
        <v>243</v>
      </c>
      <c r="M610" s="595">
        <f>VLOOKUP(J615,C622:P681,10)</f>
        <v>5794851.3111719294</v>
      </c>
      <c r="N610" s="595">
        <f>VLOOKUP(J615,C622:P681,12)</f>
        <v>5794851.3111719294</v>
      </c>
      <c r="O610" s="596">
        <f>+N610-M610</f>
        <v>0</v>
      </c>
    </row>
    <row r="611" spans="1:16" ht="12.95" customHeight="1">
      <c r="C611" s="518" t="s">
        <v>96</v>
      </c>
      <c r="D611" s="1210" t="s">
        <v>821</v>
      </c>
      <c r="E611" s="1210"/>
      <c r="F611" s="1210"/>
      <c r="G611" s="1210"/>
      <c r="H611" s="1210"/>
      <c r="I611" s="1210"/>
      <c r="J611" s="490"/>
      <c r="K611" s="503"/>
      <c r="L611" s="594" t="s">
        <v>244</v>
      </c>
      <c r="M611" s="597">
        <f>VLOOKUP(J615,C622:P681,6)</f>
        <v>5618737.6976389084</v>
      </c>
      <c r="N611" s="597">
        <f>VLOOKUP(J615,C622:P681,7)</f>
        <v>5618737.6976389084</v>
      </c>
      <c r="O611" s="598">
        <f>+N611-M611</f>
        <v>0</v>
      </c>
    </row>
    <row r="612" spans="1:16" ht="13.5" thickBot="1">
      <c r="C612" s="522"/>
      <c r="D612" s="1210"/>
      <c r="E612" s="1210"/>
      <c r="F612" s="1210"/>
      <c r="G612" s="1210"/>
      <c r="H612" s="1210"/>
      <c r="I612" s="1210"/>
      <c r="J612" s="490"/>
      <c r="K612" s="503"/>
      <c r="L612" s="533" t="s">
        <v>245</v>
      </c>
      <c r="M612" s="599">
        <f>+M611-M610</f>
        <v>-176113.61353302095</v>
      </c>
      <c r="N612" s="599">
        <f>+N611-N610</f>
        <v>-176113.61353302095</v>
      </c>
      <c r="O612" s="600">
        <f>+O611-O610</f>
        <v>0</v>
      </c>
    </row>
    <row r="613" spans="1:16" ht="13.5" thickBot="1">
      <c r="C613" s="522"/>
      <c r="D613" s="3"/>
      <c r="E613" s="524"/>
      <c r="F613" s="524"/>
      <c r="G613" s="524"/>
      <c r="H613" s="524"/>
      <c r="I613" s="524"/>
      <c r="J613" s="524"/>
      <c r="K613" s="524"/>
      <c r="L613" s="524"/>
      <c r="M613" s="524"/>
      <c r="N613" s="524"/>
      <c r="O613" s="524"/>
    </row>
    <row r="614" spans="1:16" ht="13.5" thickBot="1">
      <c r="C614" s="525" t="s">
        <v>97</v>
      </c>
      <c r="D614" s="526"/>
      <c r="E614" s="526"/>
      <c r="F614" s="526"/>
      <c r="G614" s="526"/>
      <c r="H614" s="526"/>
      <c r="I614" s="526"/>
      <c r="J614" s="526"/>
    </row>
    <row r="615" spans="1:16" ht="15">
      <c r="A615" s="978"/>
      <c r="C615" s="528" t="s">
        <v>75</v>
      </c>
      <c r="D615" s="568">
        <v>50142658.399999999</v>
      </c>
      <c r="E615" s="3" t="s">
        <v>76</v>
      </c>
      <c r="H615" s="47"/>
      <c r="I615" s="47"/>
      <c r="J615" s="529">
        <f>$J$93</f>
        <v>2025</v>
      </c>
      <c r="K615" s="70"/>
      <c r="L615" s="1211" t="s">
        <v>77</v>
      </c>
      <c r="M615" s="1211"/>
      <c r="N615" s="1211"/>
      <c r="O615" s="1211"/>
    </row>
    <row r="616" spans="1:16">
      <c r="C616" s="528" t="s">
        <v>78</v>
      </c>
      <c r="D616" s="569">
        <v>2016</v>
      </c>
      <c r="E616" s="528" t="s">
        <v>79</v>
      </c>
      <c r="F616" s="47"/>
      <c r="G616" s="47"/>
      <c r="I616"/>
      <c r="J616" s="570">
        <f>IF(H609="",0,$F$17)</f>
        <v>0</v>
      </c>
      <c r="K616" s="530"/>
      <c r="L616" s="503" t="s">
        <v>285</v>
      </c>
    </row>
    <row r="617" spans="1:16">
      <c r="C617" s="528" t="s">
        <v>80</v>
      </c>
      <c r="D617" s="568">
        <v>12</v>
      </c>
      <c r="E617" s="528" t="s">
        <v>81</v>
      </c>
      <c r="F617" s="47"/>
      <c r="G617" s="47"/>
      <c r="I617"/>
      <c r="J617" s="531">
        <f>$F$70</f>
        <v>0.11032660055737779</v>
      </c>
      <c r="K617" s="489"/>
      <c r="L617" s="3" t="str">
        <f>"          INPUT TRUE-UP ARR (WITH &amp; WITHOUT INCENTIVES) FROM EACH PRIOR YEAR"</f>
        <v xml:space="preserve">          INPUT TRUE-UP ARR (WITH &amp; WITHOUT INCENTIVES) FROM EACH PRIOR YEAR</v>
      </c>
    </row>
    <row r="618" spans="1:16">
      <c r="C618" s="528" t="s">
        <v>82</v>
      </c>
      <c r="D618" s="532">
        <f>H$79</f>
        <v>36</v>
      </c>
      <c r="E618" s="528" t="s">
        <v>83</v>
      </c>
      <c r="F618" s="47"/>
      <c r="G618" s="47"/>
      <c r="I618"/>
      <c r="J618" s="531">
        <f>IF(H609="",+J617,$F$69)</f>
        <v>0.11032660055737779</v>
      </c>
      <c r="K618" s="489"/>
      <c r="L618" s="3" t="s">
        <v>165</v>
      </c>
      <c r="M618" s="489"/>
      <c r="N618" s="489"/>
      <c r="O618" s="489"/>
    </row>
    <row r="619" spans="1:16" ht="13.5" thickBot="1">
      <c r="C619" s="528" t="s">
        <v>84</v>
      </c>
      <c r="D619" s="969" t="s">
        <v>812</v>
      </c>
      <c r="E619" s="533" t="s">
        <v>85</v>
      </c>
      <c r="F619" s="534"/>
      <c r="G619" s="534"/>
      <c r="H619" s="535"/>
      <c r="I619" s="535"/>
      <c r="J619" s="521">
        <f>IF(D615=0,0,D615/D618)</f>
        <v>1392851.6222222222</v>
      </c>
      <c r="K619" s="503"/>
      <c r="L619" s="503" t="s">
        <v>166</v>
      </c>
      <c r="M619" s="503"/>
      <c r="N619" s="503"/>
      <c r="O619" s="503"/>
    </row>
    <row r="620" spans="1:16" ht="38.25">
      <c r="B620" s="450"/>
      <c r="C620" s="536" t="s">
        <v>75</v>
      </c>
      <c r="D620" s="537" t="s">
        <v>86</v>
      </c>
      <c r="E620" s="538" t="s">
        <v>87</v>
      </c>
      <c r="F620" s="537" t="s">
        <v>88</v>
      </c>
      <c r="G620" s="537" t="s">
        <v>246</v>
      </c>
      <c r="H620" s="538" t="s">
        <v>159</v>
      </c>
      <c r="I620" s="539" t="s">
        <v>159</v>
      </c>
      <c r="J620" s="536" t="s">
        <v>98</v>
      </c>
      <c r="K620" s="540"/>
      <c r="L620" s="538" t="s">
        <v>161</v>
      </c>
      <c r="M620" s="538" t="s">
        <v>167</v>
      </c>
      <c r="N620" s="538" t="s">
        <v>161</v>
      </c>
      <c r="O620" s="538" t="s">
        <v>169</v>
      </c>
      <c r="P620" s="538" t="s">
        <v>89</v>
      </c>
    </row>
    <row r="621" spans="1:16" ht="13.5" thickBot="1">
      <c r="C621" s="542" t="s">
        <v>475</v>
      </c>
      <c r="D621" s="543" t="s">
        <v>476</v>
      </c>
      <c r="E621" s="542" t="s">
        <v>369</v>
      </c>
      <c r="F621" s="543" t="s">
        <v>476</v>
      </c>
      <c r="G621" s="543" t="s">
        <v>476</v>
      </c>
      <c r="H621" s="544" t="s">
        <v>101</v>
      </c>
      <c r="I621" s="545" t="s">
        <v>103</v>
      </c>
      <c r="J621" s="542" t="s">
        <v>15</v>
      </c>
      <c r="K621" s="546"/>
      <c r="L621" s="544" t="s">
        <v>90</v>
      </c>
      <c r="M621" s="544" t="s">
        <v>90</v>
      </c>
      <c r="N621" s="544" t="s">
        <v>263</v>
      </c>
      <c r="O621" s="544" t="s">
        <v>263</v>
      </c>
      <c r="P621" s="544" t="s">
        <v>263</v>
      </c>
    </row>
    <row r="622" spans="1:16">
      <c r="C622" s="548">
        <f>IF(D616= "","-",D616)</f>
        <v>2016</v>
      </c>
      <c r="D622" s="506">
        <f>+D615</f>
        <v>50142658.399999999</v>
      </c>
      <c r="E622" s="554">
        <f>+J619/12*(12-D617)</f>
        <v>0</v>
      </c>
      <c r="F622" s="601">
        <f t="shared" ref="F622:F681" si="53">+D622-E622</f>
        <v>50142658.399999999</v>
      </c>
      <c r="G622" s="506">
        <f>+(D622+F622)/2</f>
        <v>50142658.399999999</v>
      </c>
      <c r="H622" s="550">
        <f>+J617*G622+E622</f>
        <v>5532069.0441818442</v>
      </c>
      <c r="I622" s="551">
        <f>+J618*G622+E622</f>
        <v>5532069.0441818442</v>
      </c>
      <c r="J622" s="552">
        <f>+I622-H622</f>
        <v>0</v>
      </c>
      <c r="K622" s="552"/>
      <c r="L622" s="571">
        <v>4514116</v>
      </c>
      <c r="M622" s="602">
        <f t="shared" ref="M622:M681" si="54">IF(L622&lt;&gt;0,+H622-L622,0)</f>
        <v>1017953.0441818442</v>
      </c>
      <c r="N622" s="571">
        <v>4514116</v>
      </c>
      <c r="O622" s="602">
        <f t="shared" ref="O622:O681" si="55">IF(N622&lt;&gt;0,+I622-N622,0)</f>
        <v>1017953.0441818442</v>
      </c>
      <c r="P622" s="602">
        <f t="shared" ref="P622:P681" si="56">+O622-M622</f>
        <v>0</v>
      </c>
    </row>
    <row r="623" spans="1:16">
      <c r="C623" s="548">
        <f>IF(D616="","-",+C622+1)</f>
        <v>2017</v>
      </c>
      <c r="D623" s="506">
        <f t="shared" ref="D623:D675" si="57">F622</f>
        <v>50142658.399999999</v>
      </c>
      <c r="E623" s="549">
        <f>IF(D623&gt;$J$619,$J$619,D623)</f>
        <v>1392851.6222222222</v>
      </c>
      <c r="F623" s="549">
        <f t="shared" si="53"/>
        <v>48749806.777777776</v>
      </c>
      <c r="G623" s="506">
        <f t="shared" ref="G623:G681" si="58">+(D623+F623)/2</f>
        <v>49446232.588888884</v>
      </c>
      <c r="H623" s="554">
        <f>+J617*G623+E623</f>
        <v>6848086.3741237624</v>
      </c>
      <c r="I623" s="555">
        <f>+J618*G623+E623</f>
        <v>6848086.3741237624</v>
      </c>
      <c r="J623" s="552">
        <f>+I623-H623</f>
        <v>0</v>
      </c>
      <c r="K623" s="552"/>
      <c r="L623" s="572">
        <v>7261914</v>
      </c>
      <c r="M623" s="552">
        <f t="shared" si="54"/>
        <v>-413827.62587623764</v>
      </c>
      <c r="N623" s="572">
        <v>7261914</v>
      </c>
      <c r="O623" s="552">
        <f t="shared" si="55"/>
        <v>-413827.62587623764</v>
      </c>
      <c r="P623" s="552">
        <f t="shared" si="56"/>
        <v>0</v>
      </c>
    </row>
    <row r="624" spans="1:16">
      <c r="C624" s="548">
        <f>IF(D616="","-",+C623+1)</f>
        <v>2018</v>
      </c>
      <c r="D624" s="506">
        <f t="shared" si="57"/>
        <v>48749806.777777776</v>
      </c>
      <c r="E624" s="549">
        <f t="shared" ref="E624:E681" si="59">IF(D624&gt;$J$619,$J$619,D624)</f>
        <v>1392851.6222222222</v>
      </c>
      <c r="F624" s="549">
        <f t="shared" si="53"/>
        <v>47356955.155555554</v>
      </c>
      <c r="G624" s="506">
        <f t="shared" si="58"/>
        <v>48053380.966666669</v>
      </c>
      <c r="H624" s="554">
        <f>+J617*G624+E624</f>
        <v>6694417.7895631567</v>
      </c>
      <c r="I624" s="555">
        <f>+J618*G624+E624</f>
        <v>6694417.7895631567</v>
      </c>
      <c r="J624" s="552">
        <f t="shared" ref="J624:J681" si="60">+I624-H624</f>
        <v>0</v>
      </c>
      <c r="K624" s="552"/>
      <c r="L624" s="572">
        <v>5720037</v>
      </c>
      <c r="M624" s="552">
        <f t="shared" si="54"/>
        <v>974380.78956315666</v>
      </c>
      <c r="N624" s="572">
        <v>5720037</v>
      </c>
      <c r="O624" s="552">
        <f t="shared" si="55"/>
        <v>974380.78956315666</v>
      </c>
      <c r="P624" s="552">
        <f t="shared" si="56"/>
        <v>0</v>
      </c>
    </row>
    <row r="625" spans="3:16">
      <c r="C625" s="548">
        <f>IF(D616="","-",+C624+1)</f>
        <v>2019</v>
      </c>
      <c r="D625" s="506">
        <f t="shared" si="57"/>
        <v>47356955.155555554</v>
      </c>
      <c r="E625" s="549">
        <f t="shared" si="59"/>
        <v>1392851.6222222222</v>
      </c>
      <c r="F625" s="549">
        <f t="shared" si="53"/>
        <v>45964103.533333331</v>
      </c>
      <c r="G625" s="506">
        <f t="shared" si="58"/>
        <v>46660529.344444439</v>
      </c>
      <c r="H625" s="554">
        <f>+J617*G625+E625</f>
        <v>6540749.2050025491</v>
      </c>
      <c r="I625" s="555">
        <f>+J618*G625+E625</f>
        <v>6540749.2050025491</v>
      </c>
      <c r="J625" s="552">
        <f t="shared" si="60"/>
        <v>0</v>
      </c>
      <c r="K625" s="552"/>
      <c r="L625" s="572">
        <v>6058461</v>
      </c>
      <c r="M625" s="552">
        <f t="shared" si="54"/>
        <v>482288.2050025491</v>
      </c>
      <c r="N625" s="572">
        <v>6058461</v>
      </c>
      <c r="O625" s="552">
        <f t="shared" si="55"/>
        <v>482288.2050025491</v>
      </c>
      <c r="P625" s="552">
        <f t="shared" si="56"/>
        <v>0</v>
      </c>
    </row>
    <row r="626" spans="3:16">
      <c r="C626" s="548">
        <f>IF(D616="","-",+C625+1)</f>
        <v>2020</v>
      </c>
      <c r="D626" s="970">
        <f t="shared" si="57"/>
        <v>45964103.533333331</v>
      </c>
      <c r="E626" s="549">
        <f t="shared" si="59"/>
        <v>1392851.6222222222</v>
      </c>
      <c r="F626" s="549">
        <f t="shared" si="53"/>
        <v>44571251.911111109</v>
      </c>
      <c r="G626" s="506">
        <f t="shared" si="58"/>
        <v>45267677.722222224</v>
      </c>
      <c r="H626" s="554">
        <f>+J617*G626+E626</f>
        <v>6387080.6204419434</v>
      </c>
      <c r="I626" s="555">
        <f>+J618*G626+E626</f>
        <v>6387080.6204419434</v>
      </c>
      <c r="J626" s="552">
        <f t="shared" si="60"/>
        <v>0</v>
      </c>
      <c r="K626" s="552"/>
      <c r="L626" s="572">
        <v>6143739.6200183444</v>
      </c>
      <c r="M626" s="552">
        <f t="shared" si="54"/>
        <v>243341.00042359903</v>
      </c>
      <c r="N626" s="572">
        <v>6143739.6200183444</v>
      </c>
      <c r="O626" s="552">
        <f t="shared" si="55"/>
        <v>243341.00042359903</v>
      </c>
      <c r="P626" s="552">
        <f t="shared" si="56"/>
        <v>0</v>
      </c>
    </row>
    <row r="627" spans="3:16">
      <c r="C627" s="548">
        <f>IF(D616="","-",+C626+1)</f>
        <v>2021</v>
      </c>
      <c r="D627" s="970">
        <f t="shared" si="57"/>
        <v>44571251.911111109</v>
      </c>
      <c r="E627" s="549">
        <f t="shared" si="59"/>
        <v>1392851.6222222222</v>
      </c>
      <c r="F627" s="549">
        <f t="shared" si="53"/>
        <v>43178400.288888887</v>
      </c>
      <c r="G627" s="506">
        <f t="shared" si="58"/>
        <v>43874826.099999994</v>
      </c>
      <c r="H627" s="554">
        <f>+J617*G627+E627</f>
        <v>6233412.0358813358</v>
      </c>
      <c r="I627" s="555">
        <f>+J618*G627+E627</f>
        <v>6233412.0358813358</v>
      </c>
      <c r="J627" s="552">
        <f t="shared" si="60"/>
        <v>0</v>
      </c>
      <c r="K627" s="552"/>
      <c r="L627" s="572">
        <v>6107452.5872625131</v>
      </c>
      <c r="M627" s="552">
        <f t="shared" si="54"/>
        <v>125959.44861882273</v>
      </c>
      <c r="N627" s="572">
        <v>6107452.5872625131</v>
      </c>
      <c r="O627" s="552">
        <f t="shared" si="55"/>
        <v>125959.44861882273</v>
      </c>
      <c r="P627" s="552">
        <f t="shared" si="56"/>
        <v>0</v>
      </c>
    </row>
    <row r="628" spans="3:16">
      <c r="C628" s="548">
        <f>IF(D616="","-",+C627+1)</f>
        <v>2022</v>
      </c>
      <c r="D628" s="970">
        <f t="shared" si="57"/>
        <v>43178400.288888887</v>
      </c>
      <c r="E628" s="549">
        <f t="shared" si="59"/>
        <v>1392851.6222222222</v>
      </c>
      <c r="F628" s="549">
        <f t="shared" si="53"/>
        <v>41785548.666666664</v>
      </c>
      <c r="G628" s="506">
        <f t="shared" si="58"/>
        <v>42481974.477777779</v>
      </c>
      <c r="H628" s="554">
        <f>+J617*G628+E628</f>
        <v>6079743.4513207292</v>
      </c>
      <c r="I628" s="555">
        <f>+J618*G628+E628</f>
        <v>6079743.4513207292</v>
      </c>
      <c r="J628" s="552">
        <f t="shared" si="60"/>
        <v>0</v>
      </c>
      <c r="K628" s="552"/>
      <c r="L628" s="572">
        <v>6231587.9651845628</v>
      </c>
      <c r="M628" s="552">
        <f t="shared" si="54"/>
        <v>-151844.51386383362</v>
      </c>
      <c r="N628" s="572">
        <v>6231587.9651845628</v>
      </c>
      <c r="O628" s="552">
        <f t="shared" si="55"/>
        <v>-151844.51386383362</v>
      </c>
      <c r="P628" s="552">
        <f t="shared" si="56"/>
        <v>0</v>
      </c>
    </row>
    <row r="629" spans="3:16">
      <c r="C629" s="548">
        <f>IF(D616="","-",+C628+1)</f>
        <v>2023</v>
      </c>
      <c r="D629" s="506">
        <f t="shared" si="57"/>
        <v>41785548.666666664</v>
      </c>
      <c r="E629" s="549">
        <f t="shared" si="59"/>
        <v>1392851.6222222222</v>
      </c>
      <c r="F629" s="549">
        <f t="shared" si="53"/>
        <v>40392697.044444442</v>
      </c>
      <c r="G629" s="506">
        <f t="shared" si="58"/>
        <v>41089122.855555549</v>
      </c>
      <c r="H629" s="554">
        <f>+J617*G629+E629</f>
        <v>5926074.8667601217</v>
      </c>
      <c r="I629" s="555">
        <f>+J618*G629+E629</f>
        <v>5926074.8667601217</v>
      </c>
      <c r="J629" s="552">
        <f t="shared" si="60"/>
        <v>0</v>
      </c>
      <c r="K629" s="552"/>
      <c r="L629" s="572">
        <v>6073819.5400946867</v>
      </c>
      <c r="M629" s="552">
        <f t="shared" si="54"/>
        <v>-147744.67333456501</v>
      </c>
      <c r="N629" s="572">
        <v>6073819.5400946867</v>
      </c>
      <c r="O629" s="552">
        <f t="shared" si="55"/>
        <v>-147744.67333456501</v>
      </c>
      <c r="P629" s="552">
        <f t="shared" si="56"/>
        <v>0</v>
      </c>
    </row>
    <row r="630" spans="3:16">
      <c r="C630" s="548">
        <f>IF(D616="","-",+C629+1)</f>
        <v>2024</v>
      </c>
      <c r="D630" s="506">
        <f t="shared" si="57"/>
        <v>40392697.044444442</v>
      </c>
      <c r="E630" s="549">
        <f t="shared" si="59"/>
        <v>1392851.6222222222</v>
      </c>
      <c r="F630" s="549">
        <f t="shared" si="53"/>
        <v>38999845.422222219</v>
      </c>
      <c r="G630" s="506">
        <f t="shared" si="58"/>
        <v>39696271.233333334</v>
      </c>
      <c r="H630" s="554">
        <f>+J617*G630+E630</f>
        <v>5772406.282199516</v>
      </c>
      <c r="I630" s="555">
        <f>+J618*G630+E630</f>
        <v>5772406.282199516</v>
      </c>
      <c r="J630" s="552">
        <f t="shared" si="60"/>
        <v>0</v>
      </c>
      <c r="K630" s="552"/>
      <c r="L630" s="572">
        <v>5894289.9736510012</v>
      </c>
      <c r="M630" s="552">
        <f t="shared" si="54"/>
        <v>-121883.69145148527</v>
      </c>
      <c r="N630" s="572">
        <v>5894289.9736510012</v>
      </c>
      <c r="O630" s="552">
        <f t="shared" si="55"/>
        <v>-121883.69145148527</v>
      </c>
      <c r="P630" s="552">
        <f t="shared" si="56"/>
        <v>0</v>
      </c>
    </row>
    <row r="631" spans="3:16">
      <c r="C631" s="548">
        <f>IF(D616="","-",+C630+1)</f>
        <v>2025</v>
      </c>
      <c r="D631" s="506">
        <f t="shared" si="57"/>
        <v>38999845.422222219</v>
      </c>
      <c r="E631" s="549">
        <f t="shared" si="59"/>
        <v>1392851.6222222222</v>
      </c>
      <c r="F631" s="549">
        <f t="shared" si="53"/>
        <v>37606993.799999997</v>
      </c>
      <c r="G631" s="506">
        <f t="shared" si="58"/>
        <v>38303419.611111104</v>
      </c>
      <c r="H631" s="554">
        <f>+J617*G631+E631</f>
        <v>5618737.6976389084</v>
      </c>
      <c r="I631" s="555">
        <f>+J618*G631+E631</f>
        <v>5618737.6976389084</v>
      </c>
      <c r="J631" s="552">
        <f t="shared" si="60"/>
        <v>0</v>
      </c>
      <c r="K631" s="552"/>
      <c r="L631" s="572">
        <v>5794851.3111719294</v>
      </c>
      <c r="M631" s="552">
        <f t="shared" si="54"/>
        <v>-176113.61353302095</v>
      </c>
      <c r="N631" s="572">
        <v>5794851.3111719294</v>
      </c>
      <c r="O631" s="552">
        <f t="shared" si="55"/>
        <v>-176113.61353302095</v>
      </c>
      <c r="P631" s="552">
        <f t="shared" si="56"/>
        <v>0</v>
      </c>
    </row>
    <row r="632" spans="3:16">
      <c r="C632" s="548">
        <f>IF(D616="","-",+C631+1)</f>
        <v>2026</v>
      </c>
      <c r="D632" s="506">
        <f t="shared" si="57"/>
        <v>37606993.799999997</v>
      </c>
      <c r="E632" s="549">
        <f t="shared" si="59"/>
        <v>1392851.6222222222</v>
      </c>
      <c r="F632" s="549">
        <f t="shared" si="53"/>
        <v>36214142.177777775</v>
      </c>
      <c r="G632" s="506">
        <f t="shared" si="58"/>
        <v>36910567.98888889</v>
      </c>
      <c r="H632" s="554">
        <f>+J617*G632+E632</f>
        <v>5465069.1130783018</v>
      </c>
      <c r="I632" s="555">
        <f>+J618*G632+E632</f>
        <v>5465069.1130783018</v>
      </c>
      <c r="J632" s="552">
        <f t="shared" si="60"/>
        <v>0</v>
      </c>
      <c r="K632" s="552"/>
      <c r="L632" s="572"/>
      <c r="M632" s="552">
        <f t="shared" si="54"/>
        <v>0</v>
      </c>
      <c r="N632" s="572"/>
      <c r="O632" s="552">
        <f t="shared" si="55"/>
        <v>0</v>
      </c>
      <c r="P632" s="552">
        <f t="shared" si="56"/>
        <v>0</v>
      </c>
    </row>
    <row r="633" spans="3:16">
      <c r="C633" s="548">
        <f>IF(D616="","-",+C632+1)</f>
        <v>2027</v>
      </c>
      <c r="D633" s="506">
        <f t="shared" si="57"/>
        <v>36214142.177777775</v>
      </c>
      <c r="E633" s="549">
        <f t="shared" si="59"/>
        <v>1392851.6222222222</v>
      </c>
      <c r="F633" s="549">
        <f t="shared" si="53"/>
        <v>34821290.555555552</v>
      </c>
      <c r="G633" s="506">
        <f t="shared" si="58"/>
        <v>35517716.36666666</v>
      </c>
      <c r="H633" s="554">
        <f>+J617*G633+E633</f>
        <v>5311400.5285176942</v>
      </c>
      <c r="I633" s="555">
        <f>+J618*G633+E633</f>
        <v>5311400.5285176942</v>
      </c>
      <c r="J633" s="552">
        <f t="shared" si="60"/>
        <v>0</v>
      </c>
      <c r="K633" s="552"/>
      <c r="L633" s="572"/>
      <c r="M633" s="552">
        <f t="shared" si="54"/>
        <v>0</v>
      </c>
      <c r="N633" s="572"/>
      <c r="O633" s="552">
        <f t="shared" si="55"/>
        <v>0</v>
      </c>
      <c r="P633" s="552">
        <f t="shared" si="56"/>
        <v>0</v>
      </c>
    </row>
    <row r="634" spans="3:16">
      <c r="C634" s="548">
        <f>IF(D616="","-",+C633+1)</f>
        <v>2028</v>
      </c>
      <c r="D634" s="506">
        <f t="shared" si="57"/>
        <v>34821290.555555552</v>
      </c>
      <c r="E634" s="549">
        <f t="shared" si="59"/>
        <v>1392851.6222222222</v>
      </c>
      <c r="F634" s="549">
        <f t="shared" si="53"/>
        <v>33428438.93333333</v>
      </c>
      <c r="G634" s="506">
        <f t="shared" si="58"/>
        <v>34124864.744444445</v>
      </c>
      <c r="H634" s="554">
        <f>+J617*G634+E634</f>
        <v>5157731.9439570885</v>
      </c>
      <c r="I634" s="555">
        <f>+J618*G634+E634</f>
        <v>5157731.9439570885</v>
      </c>
      <c r="J634" s="552">
        <f t="shared" si="60"/>
        <v>0</v>
      </c>
      <c r="K634" s="552"/>
      <c r="L634" s="572"/>
      <c r="M634" s="552">
        <f t="shared" si="54"/>
        <v>0</v>
      </c>
      <c r="N634" s="572"/>
      <c r="O634" s="552">
        <f t="shared" si="55"/>
        <v>0</v>
      </c>
      <c r="P634" s="552">
        <f t="shared" si="56"/>
        <v>0</v>
      </c>
    </row>
    <row r="635" spans="3:16">
      <c r="C635" s="548">
        <f>IF(D616="","-",+C634+1)</f>
        <v>2029</v>
      </c>
      <c r="D635" s="506">
        <f t="shared" si="57"/>
        <v>33428438.93333333</v>
      </c>
      <c r="E635" s="549">
        <f t="shared" si="59"/>
        <v>1392851.6222222222</v>
      </c>
      <c r="F635" s="549">
        <f t="shared" si="53"/>
        <v>32035587.311111107</v>
      </c>
      <c r="G635" s="506">
        <f t="shared" si="58"/>
        <v>32732013.122222219</v>
      </c>
      <c r="H635" s="554">
        <f>+J617*G635+E635</f>
        <v>5004063.359396481</v>
      </c>
      <c r="I635" s="555">
        <f>+J618*G635+E635</f>
        <v>5004063.359396481</v>
      </c>
      <c r="J635" s="552">
        <f t="shared" si="60"/>
        <v>0</v>
      </c>
      <c r="K635" s="552"/>
      <c r="L635" s="572"/>
      <c r="M635" s="552">
        <f t="shared" si="54"/>
        <v>0</v>
      </c>
      <c r="N635" s="572"/>
      <c r="O635" s="552">
        <f t="shared" si="55"/>
        <v>0</v>
      </c>
      <c r="P635" s="552">
        <f t="shared" si="56"/>
        <v>0</v>
      </c>
    </row>
    <row r="636" spans="3:16">
      <c r="C636" s="548">
        <f>IF(D616="","-",+C635+1)</f>
        <v>2030</v>
      </c>
      <c r="D636" s="506">
        <f t="shared" si="57"/>
        <v>32035587.311111107</v>
      </c>
      <c r="E636" s="549">
        <f t="shared" si="59"/>
        <v>1392851.6222222222</v>
      </c>
      <c r="F636" s="549">
        <f t="shared" si="53"/>
        <v>30642735.688888885</v>
      </c>
      <c r="G636" s="506">
        <f t="shared" si="58"/>
        <v>31339161.499999996</v>
      </c>
      <c r="H636" s="554">
        <f>+J617*G636+E636</f>
        <v>4850394.7748358743</v>
      </c>
      <c r="I636" s="555">
        <f>+J618*G636+E636</f>
        <v>4850394.7748358743</v>
      </c>
      <c r="J636" s="552">
        <f t="shared" si="60"/>
        <v>0</v>
      </c>
      <c r="K636" s="552"/>
      <c r="L636" s="572"/>
      <c r="M636" s="552">
        <f t="shared" si="54"/>
        <v>0</v>
      </c>
      <c r="N636" s="572"/>
      <c r="O636" s="552">
        <f t="shared" si="55"/>
        <v>0</v>
      </c>
      <c r="P636" s="552">
        <f t="shared" si="56"/>
        <v>0</v>
      </c>
    </row>
    <row r="637" spans="3:16">
      <c r="C637" s="548">
        <f>IF(D616="","-",+C636+1)</f>
        <v>2031</v>
      </c>
      <c r="D637" s="506">
        <f t="shared" si="57"/>
        <v>30642735.688888885</v>
      </c>
      <c r="E637" s="549">
        <f t="shared" si="59"/>
        <v>1392851.6222222222</v>
      </c>
      <c r="F637" s="549">
        <f t="shared" si="53"/>
        <v>29249884.066666663</v>
      </c>
      <c r="G637" s="506">
        <f t="shared" si="58"/>
        <v>29946309.877777774</v>
      </c>
      <c r="H637" s="554">
        <f>+J617*G637+E637</f>
        <v>4696726.1902752677</v>
      </c>
      <c r="I637" s="555">
        <f>+J618*G637+E637</f>
        <v>4696726.1902752677</v>
      </c>
      <c r="J637" s="552">
        <f t="shared" si="60"/>
        <v>0</v>
      </c>
      <c r="K637" s="552"/>
      <c r="L637" s="572"/>
      <c r="M637" s="552">
        <f t="shared" si="54"/>
        <v>0</v>
      </c>
      <c r="N637" s="572"/>
      <c r="O637" s="552">
        <f t="shared" si="55"/>
        <v>0</v>
      </c>
      <c r="P637" s="552">
        <f t="shared" si="56"/>
        <v>0</v>
      </c>
    </row>
    <row r="638" spans="3:16">
      <c r="C638" s="548">
        <f>IF(D616="","-",+C637+1)</f>
        <v>2032</v>
      </c>
      <c r="D638" s="506">
        <f t="shared" si="57"/>
        <v>29249884.066666663</v>
      </c>
      <c r="E638" s="549">
        <f t="shared" si="59"/>
        <v>1392851.6222222222</v>
      </c>
      <c r="F638" s="549">
        <f t="shared" si="53"/>
        <v>27857032.44444444</v>
      </c>
      <c r="G638" s="506">
        <f t="shared" si="58"/>
        <v>28553458.255555551</v>
      </c>
      <c r="H638" s="554">
        <f>+J617*G638+E638</f>
        <v>4543057.6057146611</v>
      </c>
      <c r="I638" s="555">
        <f>+J618*G638+E638</f>
        <v>4543057.6057146611</v>
      </c>
      <c r="J638" s="552">
        <f t="shared" si="60"/>
        <v>0</v>
      </c>
      <c r="K638" s="552"/>
      <c r="L638" s="572"/>
      <c r="M638" s="552">
        <f t="shared" si="54"/>
        <v>0</v>
      </c>
      <c r="N638" s="572"/>
      <c r="O638" s="552">
        <f t="shared" si="55"/>
        <v>0</v>
      </c>
      <c r="P638" s="552">
        <f t="shared" si="56"/>
        <v>0</v>
      </c>
    </row>
    <row r="639" spans="3:16">
      <c r="C639" s="548">
        <f>IF(D616="","-",+C638+1)</f>
        <v>2033</v>
      </c>
      <c r="D639" s="506">
        <f t="shared" si="57"/>
        <v>27857032.44444444</v>
      </c>
      <c r="E639" s="549">
        <f t="shared" si="59"/>
        <v>1392851.6222222222</v>
      </c>
      <c r="F639" s="549">
        <f t="shared" si="53"/>
        <v>26464180.822222218</v>
      </c>
      <c r="G639" s="506">
        <f t="shared" si="58"/>
        <v>27160606.633333329</v>
      </c>
      <c r="H639" s="554">
        <f>+J617*G639+E639</f>
        <v>4389389.0211540544</v>
      </c>
      <c r="I639" s="555">
        <f>+J618*G639+E639</f>
        <v>4389389.0211540544</v>
      </c>
      <c r="J639" s="552">
        <f t="shared" si="60"/>
        <v>0</v>
      </c>
      <c r="K639" s="552"/>
      <c r="L639" s="572"/>
      <c r="M639" s="552">
        <f t="shared" si="54"/>
        <v>0</v>
      </c>
      <c r="N639" s="572"/>
      <c r="O639" s="552">
        <f t="shared" si="55"/>
        <v>0</v>
      </c>
      <c r="P639" s="552">
        <f t="shared" si="56"/>
        <v>0</v>
      </c>
    </row>
    <row r="640" spans="3:16">
      <c r="C640" s="548">
        <f>IF(D616="","-",+C639+1)</f>
        <v>2034</v>
      </c>
      <c r="D640" s="506">
        <f t="shared" si="57"/>
        <v>26464180.822222218</v>
      </c>
      <c r="E640" s="549">
        <f t="shared" si="59"/>
        <v>1392851.6222222222</v>
      </c>
      <c r="F640" s="549">
        <f t="shared" si="53"/>
        <v>25071329.199999996</v>
      </c>
      <c r="G640" s="506">
        <f t="shared" si="58"/>
        <v>25767755.011111107</v>
      </c>
      <c r="H640" s="554">
        <f>+J617*G640+E640</f>
        <v>4235720.4365934469</v>
      </c>
      <c r="I640" s="555">
        <f>+J618*G640+E640</f>
        <v>4235720.4365934469</v>
      </c>
      <c r="J640" s="552">
        <f t="shared" si="60"/>
        <v>0</v>
      </c>
      <c r="K640" s="552"/>
      <c r="L640" s="572"/>
      <c r="M640" s="552">
        <f t="shared" si="54"/>
        <v>0</v>
      </c>
      <c r="N640" s="572"/>
      <c r="O640" s="552">
        <f t="shared" si="55"/>
        <v>0</v>
      </c>
      <c r="P640" s="552">
        <f t="shared" si="56"/>
        <v>0</v>
      </c>
    </row>
    <row r="641" spans="3:16">
      <c r="C641" s="548">
        <f>IF(D616="","-",+C640+1)</f>
        <v>2035</v>
      </c>
      <c r="D641" s="506">
        <f t="shared" si="57"/>
        <v>25071329.199999996</v>
      </c>
      <c r="E641" s="549">
        <f t="shared" si="59"/>
        <v>1392851.6222222222</v>
      </c>
      <c r="F641" s="549">
        <f t="shared" si="53"/>
        <v>23678477.577777773</v>
      </c>
      <c r="G641" s="506">
        <f t="shared" si="58"/>
        <v>24374903.388888884</v>
      </c>
      <c r="H641" s="554">
        <f>+J617*G641+E641</f>
        <v>4082051.8520328403</v>
      </c>
      <c r="I641" s="555">
        <f>+J618*G641+E641</f>
        <v>4082051.8520328403</v>
      </c>
      <c r="J641" s="552">
        <f t="shared" si="60"/>
        <v>0</v>
      </c>
      <c r="K641" s="552"/>
      <c r="L641" s="572"/>
      <c r="M641" s="552">
        <f t="shared" si="54"/>
        <v>0</v>
      </c>
      <c r="N641" s="572"/>
      <c r="O641" s="552">
        <f t="shared" si="55"/>
        <v>0</v>
      </c>
      <c r="P641" s="552">
        <f t="shared" si="56"/>
        <v>0</v>
      </c>
    </row>
    <row r="642" spans="3:16">
      <c r="C642" s="548">
        <f>IF(D616="","-",+C641+1)</f>
        <v>2036</v>
      </c>
      <c r="D642" s="506">
        <f t="shared" si="57"/>
        <v>23678477.577777773</v>
      </c>
      <c r="E642" s="549">
        <f t="shared" si="59"/>
        <v>1392851.6222222222</v>
      </c>
      <c r="F642" s="549">
        <f t="shared" si="53"/>
        <v>22285625.955555551</v>
      </c>
      <c r="G642" s="506">
        <f t="shared" si="58"/>
        <v>22982051.766666662</v>
      </c>
      <c r="H642" s="554">
        <f>+J617*G642+E642</f>
        <v>3928383.2674722336</v>
      </c>
      <c r="I642" s="555">
        <f>+J618*G642+E642</f>
        <v>3928383.2674722336</v>
      </c>
      <c r="J642" s="552">
        <f t="shared" si="60"/>
        <v>0</v>
      </c>
      <c r="K642" s="552"/>
      <c r="L642" s="572"/>
      <c r="M642" s="552">
        <f t="shared" si="54"/>
        <v>0</v>
      </c>
      <c r="N642" s="572"/>
      <c r="O642" s="552">
        <f t="shared" si="55"/>
        <v>0</v>
      </c>
      <c r="P642" s="552">
        <f t="shared" si="56"/>
        <v>0</v>
      </c>
    </row>
    <row r="643" spans="3:16">
      <c r="C643" s="548">
        <f>IF(D616="","-",+C642+1)</f>
        <v>2037</v>
      </c>
      <c r="D643" s="506">
        <f t="shared" si="57"/>
        <v>22285625.955555551</v>
      </c>
      <c r="E643" s="549">
        <f t="shared" si="59"/>
        <v>1392851.6222222222</v>
      </c>
      <c r="F643" s="549">
        <f t="shared" si="53"/>
        <v>20892774.333333328</v>
      </c>
      <c r="G643" s="506">
        <f t="shared" si="58"/>
        <v>21589200.14444444</v>
      </c>
      <c r="H643" s="554">
        <f>+J617*G643+E643</f>
        <v>3774714.682911627</v>
      </c>
      <c r="I643" s="555">
        <f>+J618*G643+E643</f>
        <v>3774714.682911627</v>
      </c>
      <c r="J643" s="552">
        <f t="shared" si="60"/>
        <v>0</v>
      </c>
      <c r="K643" s="552"/>
      <c r="L643" s="572"/>
      <c r="M643" s="552">
        <f t="shared" si="54"/>
        <v>0</v>
      </c>
      <c r="N643" s="572"/>
      <c r="O643" s="552">
        <f t="shared" si="55"/>
        <v>0</v>
      </c>
      <c r="P643" s="552">
        <f t="shared" si="56"/>
        <v>0</v>
      </c>
    </row>
    <row r="644" spans="3:16">
      <c r="C644" s="548">
        <f>IF(D616="","-",+C643+1)</f>
        <v>2038</v>
      </c>
      <c r="D644" s="506">
        <f t="shared" si="57"/>
        <v>20892774.333333328</v>
      </c>
      <c r="E644" s="549">
        <f t="shared" si="59"/>
        <v>1392851.6222222222</v>
      </c>
      <c r="F644" s="549">
        <f t="shared" si="53"/>
        <v>19499922.711111106</v>
      </c>
      <c r="G644" s="506">
        <f t="shared" si="58"/>
        <v>20196348.522222217</v>
      </c>
      <c r="H644" s="554">
        <f>+J617*G644+E644</f>
        <v>3621046.0983510204</v>
      </c>
      <c r="I644" s="555">
        <f>+J618*G644+E644</f>
        <v>3621046.0983510204</v>
      </c>
      <c r="J644" s="552">
        <f t="shared" si="60"/>
        <v>0</v>
      </c>
      <c r="K644" s="552"/>
      <c r="L644" s="572"/>
      <c r="M644" s="552">
        <f t="shared" si="54"/>
        <v>0</v>
      </c>
      <c r="N644" s="572"/>
      <c r="O644" s="552">
        <f t="shared" si="55"/>
        <v>0</v>
      </c>
      <c r="P644" s="552">
        <f t="shared" si="56"/>
        <v>0</v>
      </c>
    </row>
    <row r="645" spans="3:16">
      <c r="C645" s="548">
        <f>IF(D616="","-",+C644+1)</f>
        <v>2039</v>
      </c>
      <c r="D645" s="506">
        <f t="shared" si="57"/>
        <v>19499922.711111106</v>
      </c>
      <c r="E645" s="549">
        <f t="shared" si="59"/>
        <v>1392851.6222222222</v>
      </c>
      <c r="F645" s="549">
        <f t="shared" si="53"/>
        <v>18107071.088888884</v>
      </c>
      <c r="G645" s="506">
        <f t="shared" si="58"/>
        <v>18803496.899999995</v>
      </c>
      <c r="H645" s="554">
        <f>+J617*G645+E645</f>
        <v>3467377.5137904133</v>
      </c>
      <c r="I645" s="555">
        <f>+J618*G645+E645</f>
        <v>3467377.5137904133</v>
      </c>
      <c r="J645" s="552">
        <f t="shared" si="60"/>
        <v>0</v>
      </c>
      <c r="K645" s="552"/>
      <c r="L645" s="572"/>
      <c r="M645" s="552">
        <f t="shared" si="54"/>
        <v>0</v>
      </c>
      <c r="N645" s="572"/>
      <c r="O645" s="552">
        <f t="shared" si="55"/>
        <v>0</v>
      </c>
      <c r="P645" s="552">
        <f t="shared" si="56"/>
        <v>0</v>
      </c>
    </row>
    <row r="646" spans="3:16">
      <c r="C646" s="548">
        <f>IF(D616="","-",+C645+1)</f>
        <v>2040</v>
      </c>
      <c r="D646" s="506">
        <f t="shared" si="57"/>
        <v>18107071.088888884</v>
      </c>
      <c r="E646" s="549">
        <f t="shared" si="59"/>
        <v>1392851.6222222222</v>
      </c>
      <c r="F646" s="549">
        <f t="shared" si="53"/>
        <v>16714219.466666661</v>
      </c>
      <c r="G646" s="506">
        <f t="shared" si="58"/>
        <v>17410645.277777772</v>
      </c>
      <c r="H646" s="554">
        <f>+J617*G646+E646</f>
        <v>3313708.9292298062</v>
      </c>
      <c r="I646" s="555">
        <f>+J618*G646+E646</f>
        <v>3313708.9292298062</v>
      </c>
      <c r="J646" s="552">
        <f t="shared" si="60"/>
        <v>0</v>
      </c>
      <c r="K646" s="552"/>
      <c r="L646" s="572"/>
      <c r="M646" s="552">
        <f t="shared" si="54"/>
        <v>0</v>
      </c>
      <c r="N646" s="572"/>
      <c r="O646" s="552">
        <f t="shared" si="55"/>
        <v>0</v>
      </c>
      <c r="P646" s="552">
        <f t="shared" si="56"/>
        <v>0</v>
      </c>
    </row>
    <row r="647" spans="3:16">
      <c r="C647" s="548">
        <f>IF(D616="","-",+C646+1)</f>
        <v>2041</v>
      </c>
      <c r="D647" s="506">
        <f t="shared" si="57"/>
        <v>16714219.466666661</v>
      </c>
      <c r="E647" s="549">
        <f t="shared" si="59"/>
        <v>1392851.6222222222</v>
      </c>
      <c r="F647" s="549">
        <f t="shared" si="53"/>
        <v>15321367.844444439</v>
      </c>
      <c r="G647" s="506">
        <f t="shared" si="58"/>
        <v>16017793.65555555</v>
      </c>
      <c r="H647" s="554">
        <f>+J617*G647+E647</f>
        <v>3160040.3446691995</v>
      </c>
      <c r="I647" s="555">
        <f>+J618*G647+E647</f>
        <v>3160040.3446691995</v>
      </c>
      <c r="J647" s="552">
        <f t="shared" si="60"/>
        <v>0</v>
      </c>
      <c r="K647" s="552"/>
      <c r="L647" s="572"/>
      <c r="M647" s="552">
        <f t="shared" si="54"/>
        <v>0</v>
      </c>
      <c r="N647" s="572"/>
      <c r="O647" s="552">
        <f t="shared" si="55"/>
        <v>0</v>
      </c>
      <c r="P647" s="552">
        <f t="shared" si="56"/>
        <v>0</v>
      </c>
    </row>
    <row r="648" spans="3:16">
      <c r="C648" s="548">
        <f>IF(D616="","-",+C647+1)</f>
        <v>2042</v>
      </c>
      <c r="D648" s="506">
        <f t="shared" si="57"/>
        <v>15321367.844444439</v>
      </c>
      <c r="E648" s="549">
        <f t="shared" si="59"/>
        <v>1392851.6222222222</v>
      </c>
      <c r="F648" s="549">
        <f t="shared" si="53"/>
        <v>13928516.222222216</v>
      </c>
      <c r="G648" s="506">
        <f t="shared" si="58"/>
        <v>14624942.033333328</v>
      </c>
      <c r="H648" s="554">
        <f>+J617*G648+E648</f>
        <v>3006371.7601085929</v>
      </c>
      <c r="I648" s="555">
        <f>+J618*G648+E648</f>
        <v>3006371.7601085929</v>
      </c>
      <c r="J648" s="552">
        <f t="shared" si="60"/>
        <v>0</v>
      </c>
      <c r="K648" s="552"/>
      <c r="L648" s="572"/>
      <c r="M648" s="552">
        <f t="shared" si="54"/>
        <v>0</v>
      </c>
      <c r="N648" s="572"/>
      <c r="O648" s="552">
        <f t="shared" si="55"/>
        <v>0</v>
      </c>
      <c r="P648" s="552">
        <f t="shared" si="56"/>
        <v>0</v>
      </c>
    </row>
    <row r="649" spans="3:16">
      <c r="C649" s="548">
        <f>IF(D616="","-",+C648+1)</f>
        <v>2043</v>
      </c>
      <c r="D649" s="506">
        <f t="shared" si="57"/>
        <v>13928516.222222216</v>
      </c>
      <c r="E649" s="549">
        <f t="shared" si="59"/>
        <v>1392851.6222222222</v>
      </c>
      <c r="F649" s="549">
        <f t="shared" si="53"/>
        <v>12535664.599999994</v>
      </c>
      <c r="G649" s="506">
        <f t="shared" si="58"/>
        <v>13232090.411111105</v>
      </c>
      <c r="H649" s="554">
        <f>+J617*G649+E649</f>
        <v>2852703.1755479863</v>
      </c>
      <c r="I649" s="555">
        <f>+J618*G649+E649</f>
        <v>2852703.1755479863</v>
      </c>
      <c r="J649" s="552">
        <f t="shared" si="60"/>
        <v>0</v>
      </c>
      <c r="K649" s="552"/>
      <c r="L649" s="572"/>
      <c r="M649" s="552">
        <f t="shared" si="54"/>
        <v>0</v>
      </c>
      <c r="N649" s="572"/>
      <c r="O649" s="552">
        <f t="shared" si="55"/>
        <v>0</v>
      </c>
      <c r="P649" s="552">
        <f t="shared" si="56"/>
        <v>0</v>
      </c>
    </row>
    <row r="650" spans="3:16">
      <c r="C650" s="548">
        <f>IF(D616="","-",+C649+1)</f>
        <v>2044</v>
      </c>
      <c r="D650" s="506">
        <f t="shared" si="57"/>
        <v>12535664.599999994</v>
      </c>
      <c r="E650" s="549">
        <f t="shared" si="59"/>
        <v>1392851.6222222222</v>
      </c>
      <c r="F650" s="549">
        <f t="shared" si="53"/>
        <v>11142812.977777772</v>
      </c>
      <c r="G650" s="506">
        <f t="shared" si="58"/>
        <v>11839238.788888883</v>
      </c>
      <c r="H650" s="554">
        <f>+J617*G650+E650</f>
        <v>2699034.5909873792</v>
      </c>
      <c r="I650" s="555">
        <f>+J618*G650+E650</f>
        <v>2699034.5909873792</v>
      </c>
      <c r="J650" s="552">
        <f t="shared" si="60"/>
        <v>0</v>
      </c>
      <c r="K650" s="552"/>
      <c r="L650" s="572"/>
      <c r="M650" s="552">
        <f t="shared" si="54"/>
        <v>0</v>
      </c>
      <c r="N650" s="572"/>
      <c r="O650" s="552">
        <f t="shared" si="55"/>
        <v>0</v>
      </c>
      <c r="P650" s="552">
        <f t="shared" si="56"/>
        <v>0</v>
      </c>
    </row>
    <row r="651" spans="3:16">
      <c r="C651" s="548">
        <f>IF(D616="","-",+C650+1)</f>
        <v>2045</v>
      </c>
      <c r="D651" s="506">
        <f t="shared" si="57"/>
        <v>11142812.977777772</v>
      </c>
      <c r="E651" s="549">
        <f t="shared" si="59"/>
        <v>1392851.6222222222</v>
      </c>
      <c r="F651" s="549">
        <f t="shared" si="53"/>
        <v>9749961.3555555493</v>
      </c>
      <c r="G651" s="506">
        <f t="shared" si="58"/>
        <v>10446387.16666666</v>
      </c>
      <c r="H651" s="554">
        <f>+J617*G651+E651</f>
        <v>2545366.0064267721</v>
      </c>
      <c r="I651" s="555">
        <f>+J618*G651+E651</f>
        <v>2545366.0064267721</v>
      </c>
      <c r="J651" s="552">
        <f t="shared" si="60"/>
        <v>0</v>
      </c>
      <c r="K651" s="552"/>
      <c r="L651" s="572"/>
      <c r="M651" s="552">
        <f t="shared" si="54"/>
        <v>0</v>
      </c>
      <c r="N651" s="572"/>
      <c r="O651" s="552">
        <f t="shared" si="55"/>
        <v>0</v>
      </c>
      <c r="P651" s="552">
        <f t="shared" si="56"/>
        <v>0</v>
      </c>
    </row>
    <row r="652" spans="3:16">
      <c r="C652" s="548">
        <f>IF(D616="","-",+C651+1)</f>
        <v>2046</v>
      </c>
      <c r="D652" s="506">
        <f t="shared" si="57"/>
        <v>9749961.3555555493</v>
      </c>
      <c r="E652" s="549">
        <f t="shared" si="59"/>
        <v>1392851.6222222222</v>
      </c>
      <c r="F652" s="549">
        <f t="shared" si="53"/>
        <v>8357109.7333333269</v>
      </c>
      <c r="G652" s="506">
        <f t="shared" si="58"/>
        <v>9053535.5444444381</v>
      </c>
      <c r="H652" s="554">
        <f>+J617*G652+E652</f>
        <v>2391697.4218661655</v>
      </c>
      <c r="I652" s="555">
        <f>+J618*G652+E652</f>
        <v>2391697.4218661655</v>
      </c>
      <c r="J652" s="552">
        <f t="shared" si="60"/>
        <v>0</v>
      </c>
      <c r="K652" s="552"/>
      <c r="L652" s="572"/>
      <c r="M652" s="552">
        <f t="shared" si="54"/>
        <v>0</v>
      </c>
      <c r="N652" s="572"/>
      <c r="O652" s="552">
        <f t="shared" si="55"/>
        <v>0</v>
      </c>
      <c r="P652" s="552">
        <f t="shared" si="56"/>
        <v>0</v>
      </c>
    </row>
    <row r="653" spans="3:16">
      <c r="C653" s="548">
        <f>IF(D616="","-",+C652+1)</f>
        <v>2047</v>
      </c>
      <c r="D653" s="506">
        <f t="shared" si="57"/>
        <v>8357109.7333333269</v>
      </c>
      <c r="E653" s="549">
        <f t="shared" si="59"/>
        <v>1392851.6222222222</v>
      </c>
      <c r="F653" s="549">
        <f t="shared" si="53"/>
        <v>6964258.1111111045</v>
      </c>
      <c r="G653" s="506">
        <f t="shared" si="58"/>
        <v>7660683.9222222157</v>
      </c>
      <c r="H653" s="554">
        <f>+J617*G653+E653</f>
        <v>2238028.8373055588</v>
      </c>
      <c r="I653" s="555">
        <f>+J618*G653+E653</f>
        <v>2238028.8373055588</v>
      </c>
      <c r="J653" s="552">
        <f t="shared" si="60"/>
        <v>0</v>
      </c>
      <c r="K653" s="552"/>
      <c r="L653" s="572"/>
      <c r="M653" s="552">
        <f t="shared" si="54"/>
        <v>0</v>
      </c>
      <c r="N653" s="572"/>
      <c r="O653" s="552">
        <f t="shared" si="55"/>
        <v>0</v>
      </c>
      <c r="P653" s="552">
        <f t="shared" si="56"/>
        <v>0</v>
      </c>
    </row>
    <row r="654" spans="3:16">
      <c r="C654" s="548">
        <f>IF(D616="","-",+C653+1)</f>
        <v>2048</v>
      </c>
      <c r="D654" s="506">
        <f t="shared" si="57"/>
        <v>6964258.1111111045</v>
      </c>
      <c r="E654" s="549">
        <f t="shared" si="59"/>
        <v>1392851.6222222222</v>
      </c>
      <c r="F654" s="549">
        <f t="shared" si="53"/>
        <v>5571406.4888888821</v>
      </c>
      <c r="G654" s="506">
        <f t="shared" si="58"/>
        <v>6267832.2999999933</v>
      </c>
      <c r="H654" s="554">
        <f>+J617*G654+E654</f>
        <v>2084360.252744952</v>
      </c>
      <c r="I654" s="555">
        <f>+J618*G654+E654</f>
        <v>2084360.252744952</v>
      </c>
      <c r="J654" s="552">
        <f t="shared" si="60"/>
        <v>0</v>
      </c>
      <c r="K654" s="552"/>
      <c r="L654" s="572"/>
      <c r="M654" s="552">
        <f t="shared" si="54"/>
        <v>0</v>
      </c>
      <c r="N654" s="572"/>
      <c r="O654" s="552">
        <f t="shared" si="55"/>
        <v>0</v>
      </c>
      <c r="P654" s="552">
        <f t="shared" si="56"/>
        <v>0</v>
      </c>
    </row>
    <row r="655" spans="3:16">
      <c r="C655" s="548">
        <f>IF(D616="","-",+C654+1)</f>
        <v>2049</v>
      </c>
      <c r="D655" s="506">
        <f t="shared" si="57"/>
        <v>5571406.4888888821</v>
      </c>
      <c r="E655" s="549">
        <f t="shared" si="59"/>
        <v>1392851.6222222222</v>
      </c>
      <c r="F655" s="549">
        <f t="shared" si="53"/>
        <v>4178554.8666666597</v>
      </c>
      <c r="G655" s="506">
        <f t="shared" si="58"/>
        <v>4874980.6777777709</v>
      </c>
      <c r="H655" s="554">
        <f>+J617*G655+E655</f>
        <v>1930691.6681843451</v>
      </c>
      <c r="I655" s="555">
        <f>+J618*G655+E655</f>
        <v>1930691.6681843451</v>
      </c>
      <c r="J655" s="552">
        <f t="shared" si="60"/>
        <v>0</v>
      </c>
      <c r="K655" s="552"/>
      <c r="L655" s="572"/>
      <c r="M655" s="552">
        <f t="shared" si="54"/>
        <v>0</v>
      </c>
      <c r="N655" s="572"/>
      <c r="O655" s="552">
        <f t="shared" si="55"/>
        <v>0</v>
      </c>
      <c r="P655" s="552">
        <f t="shared" si="56"/>
        <v>0</v>
      </c>
    </row>
    <row r="656" spans="3:16">
      <c r="C656" s="548">
        <f>IF(D616="","-",+C655+1)</f>
        <v>2050</v>
      </c>
      <c r="D656" s="506">
        <f t="shared" si="57"/>
        <v>4178554.8666666597</v>
      </c>
      <c r="E656" s="549">
        <f t="shared" si="59"/>
        <v>1392851.6222222222</v>
      </c>
      <c r="F656" s="549">
        <f t="shared" si="53"/>
        <v>2785703.2444444373</v>
      </c>
      <c r="G656" s="506">
        <f t="shared" si="58"/>
        <v>3482129.0555555485</v>
      </c>
      <c r="H656" s="554">
        <f>+J617*G656+E656</f>
        <v>1777023.0836237383</v>
      </c>
      <c r="I656" s="555">
        <f>+J618*G656+E656</f>
        <v>1777023.0836237383</v>
      </c>
      <c r="J656" s="552">
        <f t="shared" si="60"/>
        <v>0</v>
      </c>
      <c r="K656" s="552"/>
      <c r="L656" s="572"/>
      <c r="M656" s="552">
        <f t="shared" si="54"/>
        <v>0</v>
      </c>
      <c r="N656" s="572"/>
      <c r="O656" s="552">
        <f t="shared" si="55"/>
        <v>0</v>
      </c>
      <c r="P656" s="552">
        <f t="shared" si="56"/>
        <v>0</v>
      </c>
    </row>
    <row r="657" spans="3:16">
      <c r="C657" s="548">
        <f>IF(D616="","-",+C656+1)</f>
        <v>2051</v>
      </c>
      <c r="D657" s="506">
        <f t="shared" si="57"/>
        <v>2785703.2444444373</v>
      </c>
      <c r="E657" s="549">
        <f t="shared" si="59"/>
        <v>1392851.6222222222</v>
      </c>
      <c r="F657" s="549">
        <f t="shared" si="53"/>
        <v>1392851.6222222152</v>
      </c>
      <c r="G657" s="506">
        <f t="shared" si="58"/>
        <v>2089277.4333333261</v>
      </c>
      <c r="H657" s="554">
        <f>+J617*G657+E657</f>
        <v>1623354.4990631316</v>
      </c>
      <c r="I657" s="555">
        <f>+J618*G657+E657</f>
        <v>1623354.4990631316</v>
      </c>
      <c r="J657" s="552">
        <f t="shared" si="60"/>
        <v>0</v>
      </c>
      <c r="K657" s="552"/>
      <c r="L657" s="572"/>
      <c r="M657" s="552">
        <f t="shared" si="54"/>
        <v>0</v>
      </c>
      <c r="N657" s="572"/>
      <c r="O657" s="552">
        <f t="shared" si="55"/>
        <v>0</v>
      </c>
      <c r="P657" s="552">
        <f t="shared" si="56"/>
        <v>0</v>
      </c>
    </row>
    <row r="658" spans="3:16">
      <c r="C658" s="548">
        <f>IF(D616="","-",+C657+1)</f>
        <v>2052</v>
      </c>
      <c r="D658" s="506">
        <f t="shared" si="57"/>
        <v>1392851.6222222152</v>
      </c>
      <c r="E658" s="549">
        <f t="shared" si="59"/>
        <v>1392851.6222222152</v>
      </c>
      <c r="F658" s="549">
        <f t="shared" si="53"/>
        <v>0</v>
      </c>
      <c r="G658" s="506">
        <f t="shared" si="58"/>
        <v>696425.81111110759</v>
      </c>
      <c r="H658" s="554">
        <f>+J617*G658+E658</f>
        <v>1469685.9145025183</v>
      </c>
      <c r="I658" s="555">
        <f>+J618*G658+E658</f>
        <v>1469685.9145025183</v>
      </c>
      <c r="J658" s="552">
        <f t="shared" si="60"/>
        <v>0</v>
      </c>
      <c r="K658" s="552"/>
      <c r="L658" s="572"/>
      <c r="M658" s="552">
        <f t="shared" si="54"/>
        <v>0</v>
      </c>
      <c r="N658" s="572"/>
      <c r="O658" s="552">
        <f t="shared" si="55"/>
        <v>0</v>
      </c>
      <c r="P658" s="552">
        <f t="shared" si="56"/>
        <v>0</v>
      </c>
    </row>
    <row r="659" spans="3:16">
      <c r="C659" s="548">
        <f>IF(D616="","-",+C658+1)</f>
        <v>2053</v>
      </c>
      <c r="D659" s="506">
        <f t="shared" si="57"/>
        <v>0</v>
      </c>
      <c r="E659" s="549">
        <f t="shared" si="59"/>
        <v>0</v>
      </c>
      <c r="F659" s="549">
        <f t="shared" si="53"/>
        <v>0</v>
      </c>
      <c r="G659" s="506">
        <f t="shared" si="58"/>
        <v>0</v>
      </c>
      <c r="H659" s="554">
        <f>+J617*G659+E659</f>
        <v>0</v>
      </c>
      <c r="I659" s="555">
        <f>+J618*G659+E659</f>
        <v>0</v>
      </c>
      <c r="J659" s="552">
        <f t="shared" si="60"/>
        <v>0</v>
      </c>
      <c r="K659" s="552"/>
      <c r="L659" s="572"/>
      <c r="M659" s="552">
        <f t="shared" si="54"/>
        <v>0</v>
      </c>
      <c r="N659" s="572"/>
      <c r="O659" s="552">
        <f t="shared" si="55"/>
        <v>0</v>
      </c>
      <c r="P659" s="552">
        <f t="shared" si="56"/>
        <v>0</v>
      </c>
    </row>
    <row r="660" spans="3:16">
      <c r="C660" s="548">
        <f>IF(D616="","-",+C659+1)</f>
        <v>2054</v>
      </c>
      <c r="D660" s="506">
        <f t="shared" si="57"/>
        <v>0</v>
      </c>
      <c r="E660" s="549">
        <f t="shared" si="59"/>
        <v>0</v>
      </c>
      <c r="F660" s="549">
        <f t="shared" si="53"/>
        <v>0</v>
      </c>
      <c r="G660" s="506">
        <f t="shared" si="58"/>
        <v>0</v>
      </c>
      <c r="H660" s="554">
        <f>+J617*G660+E660</f>
        <v>0</v>
      </c>
      <c r="I660" s="555">
        <f>+J618*G660+E660</f>
        <v>0</v>
      </c>
      <c r="J660" s="552">
        <f t="shared" si="60"/>
        <v>0</v>
      </c>
      <c r="K660" s="552"/>
      <c r="L660" s="572"/>
      <c r="M660" s="552">
        <f t="shared" si="54"/>
        <v>0</v>
      </c>
      <c r="N660" s="572"/>
      <c r="O660" s="552">
        <f t="shared" si="55"/>
        <v>0</v>
      </c>
      <c r="P660" s="552">
        <f t="shared" si="56"/>
        <v>0</v>
      </c>
    </row>
    <row r="661" spans="3:16">
      <c r="C661" s="548">
        <f>IF(D616="","-",+C660+1)</f>
        <v>2055</v>
      </c>
      <c r="D661" s="506">
        <f t="shared" si="57"/>
        <v>0</v>
      </c>
      <c r="E661" s="549">
        <f t="shared" si="59"/>
        <v>0</v>
      </c>
      <c r="F661" s="549">
        <f t="shared" si="53"/>
        <v>0</v>
      </c>
      <c r="G661" s="506">
        <f t="shared" si="58"/>
        <v>0</v>
      </c>
      <c r="H661" s="554">
        <f>+J617*G661+E661</f>
        <v>0</v>
      </c>
      <c r="I661" s="555">
        <f>+J618*G661+E661</f>
        <v>0</v>
      </c>
      <c r="J661" s="552">
        <f t="shared" si="60"/>
        <v>0</v>
      </c>
      <c r="K661" s="552"/>
      <c r="L661" s="572"/>
      <c r="M661" s="552">
        <f t="shared" si="54"/>
        <v>0</v>
      </c>
      <c r="N661" s="572"/>
      <c r="O661" s="552">
        <f t="shared" si="55"/>
        <v>0</v>
      </c>
      <c r="P661" s="552">
        <f t="shared" si="56"/>
        <v>0</v>
      </c>
    </row>
    <row r="662" spans="3:16">
      <c r="C662" s="548">
        <f>IF(D616="","-",+C661+1)</f>
        <v>2056</v>
      </c>
      <c r="D662" s="506">
        <f t="shared" si="57"/>
        <v>0</v>
      </c>
      <c r="E662" s="549">
        <f t="shared" si="59"/>
        <v>0</v>
      </c>
      <c r="F662" s="549">
        <f t="shared" si="53"/>
        <v>0</v>
      </c>
      <c r="G662" s="506">
        <f t="shared" si="58"/>
        <v>0</v>
      </c>
      <c r="H662" s="554">
        <f>+J617*G662+E662</f>
        <v>0</v>
      </c>
      <c r="I662" s="555">
        <f>+J618*G662+E662</f>
        <v>0</v>
      </c>
      <c r="J662" s="552">
        <f t="shared" si="60"/>
        <v>0</v>
      </c>
      <c r="K662" s="552"/>
      <c r="L662" s="572"/>
      <c r="M662" s="552">
        <f t="shared" si="54"/>
        <v>0</v>
      </c>
      <c r="N662" s="572"/>
      <c r="O662" s="552">
        <f t="shared" si="55"/>
        <v>0</v>
      </c>
      <c r="P662" s="552">
        <f t="shared" si="56"/>
        <v>0</v>
      </c>
    </row>
    <row r="663" spans="3:16">
      <c r="C663" s="548">
        <f>IF(D616="","-",+C662+1)</f>
        <v>2057</v>
      </c>
      <c r="D663" s="506">
        <f t="shared" si="57"/>
        <v>0</v>
      </c>
      <c r="E663" s="549">
        <f t="shared" si="59"/>
        <v>0</v>
      </c>
      <c r="F663" s="549">
        <f t="shared" si="53"/>
        <v>0</v>
      </c>
      <c r="G663" s="506">
        <f t="shared" si="58"/>
        <v>0</v>
      </c>
      <c r="H663" s="554">
        <f>+J617*G663+E663</f>
        <v>0</v>
      </c>
      <c r="I663" s="555">
        <f>+J618*G663+E663</f>
        <v>0</v>
      </c>
      <c r="J663" s="552">
        <f t="shared" si="60"/>
        <v>0</v>
      </c>
      <c r="K663" s="552"/>
      <c r="L663" s="572"/>
      <c r="M663" s="552">
        <f t="shared" si="54"/>
        <v>0</v>
      </c>
      <c r="N663" s="572"/>
      <c r="O663" s="552">
        <f t="shared" si="55"/>
        <v>0</v>
      </c>
      <c r="P663" s="552">
        <f t="shared" si="56"/>
        <v>0</v>
      </c>
    </row>
    <row r="664" spans="3:16">
      <c r="C664" s="548">
        <f>IF(D616="","-",+C663+1)</f>
        <v>2058</v>
      </c>
      <c r="D664" s="506">
        <f t="shared" si="57"/>
        <v>0</v>
      </c>
      <c r="E664" s="549">
        <f t="shared" si="59"/>
        <v>0</v>
      </c>
      <c r="F664" s="549">
        <f t="shared" si="53"/>
        <v>0</v>
      </c>
      <c r="G664" s="506">
        <f t="shared" si="58"/>
        <v>0</v>
      </c>
      <c r="H664" s="554">
        <f>+J617*G664+E664</f>
        <v>0</v>
      </c>
      <c r="I664" s="555">
        <f>+J618*G664+E664</f>
        <v>0</v>
      </c>
      <c r="J664" s="552">
        <f t="shared" si="60"/>
        <v>0</v>
      </c>
      <c r="K664" s="552"/>
      <c r="L664" s="572"/>
      <c r="M664" s="552">
        <f t="shared" si="54"/>
        <v>0</v>
      </c>
      <c r="N664" s="572"/>
      <c r="O664" s="552">
        <f t="shared" si="55"/>
        <v>0</v>
      </c>
      <c r="P664" s="552">
        <f t="shared" si="56"/>
        <v>0</v>
      </c>
    </row>
    <row r="665" spans="3:16">
      <c r="C665" s="548">
        <f>IF(D616="","-",+C664+1)</f>
        <v>2059</v>
      </c>
      <c r="D665" s="506">
        <f t="shared" si="57"/>
        <v>0</v>
      </c>
      <c r="E665" s="549">
        <f t="shared" si="59"/>
        <v>0</v>
      </c>
      <c r="F665" s="549">
        <f t="shared" si="53"/>
        <v>0</v>
      </c>
      <c r="G665" s="506">
        <f t="shared" si="58"/>
        <v>0</v>
      </c>
      <c r="H665" s="554">
        <f>+J617*G665+E665</f>
        <v>0</v>
      </c>
      <c r="I665" s="555">
        <f>+J618*G665+E665</f>
        <v>0</v>
      </c>
      <c r="J665" s="552">
        <f t="shared" si="60"/>
        <v>0</v>
      </c>
      <c r="K665" s="552"/>
      <c r="L665" s="572"/>
      <c r="M665" s="552">
        <f t="shared" si="54"/>
        <v>0</v>
      </c>
      <c r="N665" s="572"/>
      <c r="O665" s="552">
        <f t="shared" si="55"/>
        <v>0</v>
      </c>
      <c r="P665" s="552">
        <f t="shared" si="56"/>
        <v>0</v>
      </c>
    </row>
    <row r="666" spans="3:16">
      <c r="C666" s="548">
        <f>IF(D616="","-",+C665+1)</f>
        <v>2060</v>
      </c>
      <c r="D666" s="506">
        <f t="shared" si="57"/>
        <v>0</v>
      </c>
      <c r="E666" s="549">
        <f t="shared" si="59"/>
        <v>0</v>
      </c>
      <c r="F666" s="549">
        <f t="shared" si="53"/>
        <v>0</v>
      </c>
      <c r="G666" s="506">
        <f t="shared" si="58"/>
        <v>0</v>
      </c>
      <c r="H666" s="554">
        <f>+J617*G666+E666</f>
        <v>0</v>
      </c>
      <c r="I666" s="555">
        <f>+J618*G666+E666</f>
        <v>0</v>
      </c>
      <c r="J666" s="552">
        <f t="shared" si="60"/>
        <v>0</v>
      </c>
      <c r="K666" s="552"/>
      <c r="L666" s="572"/>
      <c r="M666" s="552">
        <f t="shared" si="54"/>
        <v>0</v>
      </c>
      <c r="N666" s="572"/>
      <c r="O666" s="552">
        <f t="shared" si="55"/>
        <v>0</v>
      </c>
      <c r="P666" s="552">
        <f t="shared" si="56"/>
        <v>0</v>
      </c>
    </row>
    <row r="667" spans="3:16">
      <c r="C667" s="548">
        <f>IF(D616="","-",+C666+1)</f>
        <v>2061</v>
      </c>
      <c r="D667" s="506">
        <f t="shared" si="57"/>
        <v>0</v>
      </c>
      <c r="E667" s="549">
        <f t="shared" si="59"/>
        <v>0</v>
      </c>
      <c r="F667" s="549">
        <f t="shared" si="53"/>
        <v>0</v>
      </c>
      <c r="G667" s="506">
        <f t="shared" si="58"/>
        <v>0</v>
      </c>
      <c r="H667" s="554">
        <f>+J617*G667+E667</f>
        <v>0</v>
      </c>
      <c r="I667" s="555">
        <f>+J618*G667+E667</f>
        <v>0</v>
      </c>
      <c r="J667" s="552">
        <f t="shared" si="60"/>
        <v>0</v>
      </c>
      <c r="K667" s="552"/>
      <c r="L667" s="572"/>
      <c r="M667" s="552">
        <f t="shared" si="54"/>
        <v>0</v>
      </c>
      <c r="N667" s="572"/>
      <c r="O667" s="552">
        <f t="shared" si="55"/>
        <v>0</v>
      </c>
      <c r="P667" s="552">
        <f t="shared" si="56"/>
        <v>0</v>
      </c>
    </row>
    <row r="668" spans="3:16">
      <c r="C668" s="548">
        <f>IF(D616="","-",+C667+1)</f>
        <v>2062</v>
      </c>
      <c r="D668" s="506">
        <f t="shared" si="57"/>
        <v>0</v>
      </c>
      <c r="E668" s="549">
        <f t="shared" si="59"/>
        <v>0</v>
      </c>
      <c r="F668" s="549">
        <f t="shared" si="53"/>
        <v>0</v>
      </c>
      <c r="G668" s="506">
        <f t="shared" si="58"/>
        <v>0</v>
      </c>
      <c r="H668" s="554">
        <f>+J617*G668+E668</f>
        <v>0</v>
      </c>
      <c r="I668" s="555">
        <f>+J618*G668+E668</f>
        <v>0</v>
      </c>
      <c r="J668" s="552">
        <f t="shared" si="60"/>
        <v>0</v>
      </c>
      <c r="K668" s="552"/>
      <c r="L668" s="572"/>
      <c r="M668" s="552">
        <f t="shared" si="54"/>
        <v>0</v>
      </c>
      <c r="N668" s="572"/>
      <c r="O668" s="552">
        <f t="shared" si="55"/>
        <v>0</v>
      </c>
      <c r="P668" s="552">
        <f t="shared" si="56"/>
        <v>0</v>
      </c>
    </row>
    <row r="669" spans="3:16">
      <c r="C669" s="548">
        <f>IF(D616="","-",+C668+1)</f>
        <v>2063</v>
      </c>
      <c r="D669" s="506">
        <f t="shared" si="57"/>
        <v>0</v>
      </c>
      <c r="E669" s="549">
        <f t="shared" si="59"/>
        <v>0</v>
      </c>
      <c r="F669" s="549">
        <f t="shared" si="53"/>
        <v>0</v>
      </c>
      <c r="G669" s="506">
        <f t="shared" si="58"/>
        <v>0</v>
      </c>
      <c r="H669" s="554">
        <f>+J617*G669+E669</f>
        <v>0</v>
      </c>
      <c r="I669" s="555">
        <f>+J618*G669+E669</f>
        <v>0</v>
      </c>
      <c r="J669" s="552">
        <f t="shared" si="60"/>
        <v>0</v>
      </c>
      <c r="K669" s="552"/>
      <c r="L669" s="572"/>
      <c r="M669" s="552">
        <f t="shared" si="54"/>
        <v>0</v>
      </c>
      <c r="N669" s="572"/>
      <c r="O669" s="552">
        <f t="shared" si="55"/>
        <v>0</v>
      </c>
      <c r="P669" s="552">
        <f t="shared" si="56"/>
        <v>0</v>
      </c>
    </row>
    <row r="670" spans="3:16">
      <c r="C670" s="548">
        <f>IF(D616="","-",+C669+1)</f>
        <v>2064</v>
      </c>
      <c r="D670" s="506">
        <f t="shared" si="57"/>
        <v>0</v>
      </c>
      <c r="E670" s="549">
        <f t="shared" si="59"/>
        <v>0</v>
      </c>
      <c r="F670" s="549">
        <f t="shared" si="53"/>
        <v>0</v>
      </c>
      <c r="G670" s="506">
        <f t="shared" si="58"/>
        <v>0</v>
      </c>
      <c r="H670" s="554">
        <f>+J617*G670+E670</f>
        <v>0</v>
      </c>
      <c r="I670" s="555">
        <f>+J618*G670+E670</f>
        <v>0</v>
      </c>
      <c r="J670" s="552">
        <f t="shared" si="60"/>
        <v>0</v>
      </c>
      <c r="K670" s="552"/>
      <c r="L670" s="572"/>
      <c r="M670" s="552">
        <f t="shared" si="54"/>
        <v>0</v>
      </c>
      <c r="N670" s="572"/>
      <c r="O670" s="552">
        <f t="shared" si="55"/>
        <v>0</v>
      </c>
      <c r="P670" s="552">
        <f t="shared" si="56"/>
        <v>0</v>
      </c>
    </row>
    <row r="671" spans="3:16">
      <c r="C671" s="548">
        <f>IF(D616="","-",+C670+1)</f>
        <v>2065</v>
      </c>
      <c r="D671" s="506">
        <f t="shared" si="57"/>
        <v>0</v>
      </c>
      <c r="E671" s="549">
        <f t="shared" si="59"/>
        <v>0</v>
      </c>
      <c r="F671" s="549">
        <f t="shared" si="53"/>
        <v>0</v>
      </c>
      <c r="G671" s="506">
        <f t="shared" si="58"/>
        <v>0</v>
      </c>
      <c r="H671" s="554">
        <f>+J617*G671+E671</f>
        <v>0</v>
      </c>
      <c r="I671" s="555">
        <f>+J618*G671+E671</f>
        <v>0</v>
      </c>
      <c r="J671" s="552">
        <f t="shared" si="60"/>
        <v>0</v>
      </c>
      <c r="K671" s="552"/>
      <c r="L671" s="572"/>
      <c r="M671" s="552">
        <f t="shared" si="54"/>
        <v>0</v>
      </c>
      <c r="N671" s="572"/>
      <c r="O671" s="552">
        <f t="shared" si="55"/>
        <v>0</v>
      </c>
      <c r="P671" s="552">
        <f t="shared" si="56"/>
        <v>0</v>
      </c>
    </row>
    <row r="672" spans="3:16">
      <c r="C672" s="548">
        <f>IF(D616="","-",+C671+1)</f>
        <v>2066</v>
      </c>
      <c r="D672" s="506">
        <f t="shared" si="57"/>
        <v>0</v>
      </c>
      <c r="E672" s="549">
        <f t="shared" si="59"/>
        <v>0</v>
      </c>
      <c r="F672" s="549">
        <f t="shared" si="53"/>
        <v>0</v>
      </c>
      <c r="G672" s="506">
        <f t="shared" si="58"/>
        <v>0</v>
      </c>
      <c r="H672" s="554">
        <f>+J617*G672+E672</f>
        <v>0</v>
      </c>
      <c r="I672" s="555">
        <f>+J618*G672+E672</f>
        <v>0</v>
      </c>
      <c r="J672" s="552">
        <f t="shared" si="60"/>
        <v>0</v>
      </c>
      <c r="K672" s="552"/>
      <c r="L672" s="572"/>
      <c r="M672" s="552">
        <f t="shared" si="54"/>
        <v>0</v>
      </c>
      <c r="N672" s="572"/>
      <c r="O672" s="552">
        <f t="shared" si="55"/>
        <v>0</v>
      </c>
      <c r="P672" s="552">
        <f t="shared" si="56"/>
        <v>0</v>
      </c>
    </row>
    <row r="673" spans="3:16">
      <c r="C673" s="548">
        <f>IF(D616="","-",+C672+1)</f>
        <v>2067</v>
      </c>
      <c r="D673" s="506">
        <f t="shared" si="57"/>
        <v>0</v>
      </c>
      <c r="E673" s="549">
        <f t="shared" si="59"/>
        <v>0</v>
      </c>
      <c r="F673" s="549">
        <f t="shared" si="53"/>
        <v>0</v>
      </c>
      <c r="G673" s="506">
        <f t="shared" si="58"/>
        <v>0</v>
      </c>
      <c r="H673" s="554">
        <f>+J617*G673+E673</f>
        <v>0</v>
      </c>
      <c r="I673" s="555">
        <f>+J618*G673+E673</f>
        <v>0</v>
      </c>
      <c r="J673" s="552">
        <f t="shared" si="60"/>
        <v>0</v>
      </c>
      <c r="K673" s="552"/>
      <c r="L673" s="572"/>
      <c r="M673" s="552">
        <f t="shared" si="54"/>
        <v>0</v>
      </c>
      <c r="N673" s="572"/>
      <c r="O673" s="552">
        <f t="shared" si="55"/>
        <v>0</v>
      </c>
      <c r="P673" s="552">
        <f t="shared" si="56"/>
        <v>0</v>
      </c>
    </row>
    <row r="674" spans="3:16">
      <c r="C674" s="548">
        <f>IF(D616="","-",+C673+1)</f>
        <v>2068</v>
      </c>
      <c r="D674" s="506">
        <f t="shared" si="57"/>
        <v>0</v>
      </c>
      <c r="E674" s="549">
        <f t="shared" si="59"/>
        <v>0</v>
      </c>
      <c r="F674" s="549">
        <f t="shared" si="53"/>
        <v>0</v>
      </c>
      <c r="G674" s="506">
        <f t="shared" si="58"/>
        <v>0</v>
      </c>
      <c r="H674" s="554">
        <f>+J617*G674+E674</f>
        <v>0</v>
      </c>
      <c r="I674" s="555">
        <f>+J618*G674+E674</f>
        <v>0</v>
      </c>
      <c r="J674" s="552">
        <f t="shared" si="60"/>
        <v>0</v>
      </c>
      <c r="K674" s="552"/>
      <c r="L674" s="572"/>
      <c r="M674" s="552">
        <f t="shared" si="54"/>
        <v>0</v>
      </c>
      <c r="N674" s="572"/>
      <c r="O674" s="552">
        <f t="shared" si="55"/>
        <v>0</v>
      </c>
      <c r="P674" s="552">
        <f t="shared" si="56"/>
        <v>0</v>
      </c>
    </row>
    <row r="675" spans="3:16">
      <c r="C675" s="548">
        <f>IF(D616="","-",+C674+1)</f>
        <v>2069</v>
      </c>
      <c r="D675" s="506">
        <f t="shared" si="57"/>
        <v>0</v>
      </c>
      <c r="E675" s="549">
        <f t="shared" si="59"/>
        <v>0</v>
      </c>
      <c r="F675" s="549">
        <f t="shared" si="53"/>
        <v>0</v>
      </c>
      <c r="G675" s="506">
        <f t="shared" si="58"/>
        <v>0</v>
      </c>
      <c r="H675" s="554">
        <f>+J617*G675+E675</f>
        <v>0</v>
      </c>
      <c r="I675" s="555">
        <f>+J618*G675+E675</f>
        <v>0</v>
      </c>
      <c r="J675" s="552">
        <f t="shared" si="60"/>
        <v>0</v>
      </c>
      <c r="K675" s="552"/>
      <c r="L675" s="572"/>
      <c r="M675" s="552">
        <f t="shared" si="54"/>
        <v>0</v>
      </c>
      <c r="N675" s="572"/>
      <c r="O675" s="552">
        <f t="shared" si="55"/>
        <v>0</v>
      </c>
      <c r="P675" s="552">
        <f t="shared" si="56"/>
        <v>0</v>
      </c>
    </row>
    <row r="676" spans="3:16">
      <c r="C676" s="548">
        <f>IF(D616="","-",+C675+1)</f>
        <v>2070</v>
      </c>
      <c r="D676" s="506">
        <f t="shared" ref="D676:D681" si="61">F675</f>
        <v>0</v>
      </c>
      <c r="E676" s="549">
        <f t="shared" si="59"/>
        <v>0</v>
      </c>
      <c r="F676" s="549">
        <f t="shared" si="53"/>
        <v>0</v>
      </c>
      <c r="G676" s="506">
        <f t="shared" si="58"/>
        <v>0</v>
      </c>
      <c r="H676" s="554">
        <f>+J617*G676+E676</f>
        <v>0</v>
      </c>
      <c r="I676" s="555">
        <f>+J618*G676+E676</f>
        <v>0</v>
      </c>
      <c r="J676" s="552">
        <f t="shared" si="60"/>
        <v>0</v>
      </c>
      <c r="K676" s="552"/>
      <c r="L676" s="572"/>
      <c r="M676" s="552">
        <f t="shared" si="54"/>
        <v>0</v>
      </c>
      <c r="N676" s="572"/>
      <c r="O676" s="552">
        <f t="shared" si="55"/>
        <v>0</v>
      </c>
      <c r="P676" s="552">
        <f t="shared" si="56"/>
        <v>0</v>
      </c>
    </row>
    <row r="677" spans="3:16">
      <c r="C677" s="548">
        <f>IF(D616="","-",+C676+1)</f>
        <v>2071</v>
      </c>
      <c r="D677" s="506">
        <f t="shared" si="61"/>
        <v>0</v>
      </c>
      <c r="E677" s="549">
        <f t="shared" si="59"/>
        <v>0</v>
      </c>
      <c r="F677" s="549">
        <f t="shared" si="53"/>
        <v>0</v>
      </c>
      <c r="G677" s="506">
        <f t="shared" si="58"/>
        <v>0</v>
      </c>
      <c r="H677" s="554">
        <f>+J617*G677+E677</f>
        <v>0</v>
      </c>
      <c r="I677" s="555">
        <f>+J618*G677+E677</f>
        <v>0</v>
      </c>
      <c r="J677" s="552">
        <f t="shared" si="60"/>
        <v>0</v>
      </c>
      <c r="K677" s="552"/>
      <c r="L677" s="572"/>
      <c r="M677" s="552">
        <f t="shared" si="54"/>
        <v>0</v>
      </c>
      <c r="N677" s="572"/>
      <c r="O677" s="552">
        <f t="shared" si="55"/>
        <v>0</v>
      </c>
      <c r="P677" s="552">
        <f t="shared" si="56"/>
        <v>0</v>
      </c>
    </row>
    <row r="678" spans="3:16">
      <c r="C678" s="548">
        <f>IF(D616="","-",+C677+1)</f>
        <v>2072</v>
      </c>
      <c r="D678" s="506">
        <f t="shared" si="61"/>
        <v>0</v>
      </c>
      <c r="E678" s="549">
        <f t="shared" si="59"/>
        <v>0</v>
      </c>
      <c r="F678" s="549">
        <f t="shared" si="53"/>
        <v>0</v>
      </c>
      <c r="G678" s="506">
        <f t="shared" si="58"/>
        <v>0</v>
      </c>
      <c r="H678" s="554">
        <f>+J617*G678+E678</f>
        <v>0</v>
      </c>
      <c r="I678" s="555">
        <f>+J618*G678+E678</f>
        <v>0</v>
      </c>
      <c r="J678" s="552">
        <f t="shared" si="60"/>
        <v>0</v>
      </c>
      <c r="K678" s="552"/>
      <c r="L678" s="572"/>
      <c r="M678" s="552">
        <f t="shared" si="54"/>
        <v>0</v>
      </c>
      <c r="N678" s="572"/>
      <c r="O678" s="552">
        <f t="shared" si="55"/>
        <v>0</v>
      </c>
      <c r="P678" s="552">
        <f t="shared" si="56"/>
        <v>0</v>
      </c>
    </row>
    <row r="679" spans="3:16">
      <c r="C679" s="548">
        <f>IF(D616="","-",+C678+1)</f>
        <v>2073</v>
      </c>
      <c r="D679" s="506">
        <f t="shared" si="61"/>
        <v>0</v>
      </c>
      <c r="E679" s="549">
        <f t="shared" si="59"/>
        <v>0</v>
      </c>
      <c r="F679" s="549">
        <f t="shared" si="53"/>
        <v>0</v>
      </c>
      <c r="G679" s="506">
        <f t="shared" si="58"/>
        <v>0</v>
      </c>
      <c r="H679" s="554">
        <f>+J617*G679+E679</f>
        <v>0</v>
      </c>
      <c r="I679" s="555">
        <f>+J618*G679+E679</f>
        <v>0</v>
      </c>
      <c r="J679" s="552">
        <f t="shared" si="60"/>
        <v>0</v>
      </c>
      <c r="K679" s="552"/>
      <c r="L679" s="572"/>
      <c r="M679" s="552">
        <f t="shared" si="54"/>
        <v>0</v>
      </c>
      <c r="N679" s="572"/>
      <c r="O679" s="552">
        <f t="shared" si="55"/>
        <v>0</v>
      </c>
      <c r="P679" s="552">
        <f t="shared" si="56"/>
        <v>0</v>
      </c>
    </row>
    <row r="680" spans="3:16">
      <c r="C680" s="548">
        <f>IF(D616="","-",+C679+1)</f>
        <v>2074</v>
      </c>
      <c r="D680" s="506">
        <f t="shared" si="61"/>
        <v>0</v>
      </c>
      <c r="E680" s="549">
        <f t="shared" si="59"/>
        <v>0</v>
      </c>
      <c r="F680" s="549">
        <f t="shared" si="53"/>
        <v>0</v>
      </c>
      <c r="G680" s="506">
        <f t="shared" si="58"/>
        <v>0</v>
      </c>
      <c r="H680" s="554">
        <f>+J617*G680+E680</f>
        <v>0</v>
      </c>
      <c r="I680" s="555">
        <f>+J618*G680+E680</f>
        <v>0</v>
      </c>
      <c r="J680" s="552">
        <f t="shared" si="60"/>
        <v>0</v>
      </c>
      <c r="K680" s="552"/>
      <c r="L680" s="572"/>
      <c r="M680" s="552">
        <f t="shared" si="54"/>
        <v>0</v>
      </c>
      <c r="N680" s="572"/>
      <c r="O680" s="552">
        <f t="shared" si="55"/>
        <v>0</v>
      </c>
      <c r="P680" s="552">
        <f t="shared" si="56"/>
        <v>0</v>
      </c>
    </row>
    <row r="681" spans="3:16" ht="13.5" thickBot="1">
      <c r="C681" s="558">
        <f>IF(D616="","-",+C680+1)</f>
        <v>2075</v>
      </c>
      <c r="D681" s="559">
        <f t="shared" si="61"/>
        <v>0</v>
      </c>
      <c r="E681" s="560">
        <f t="shared" si="59"/>
        <v>0</v>
      </c>
      <c r="F681" s="560">
        <f t="shared" si="53"/>
        <v>0</v>
      </c>
      <c r="G681" s="559">
        <f t="shared" si="58"/>
        <v>0</v>
      </c>
      <c r="H681" s="561">
        <f>+J617*G681+E681</f>
        <v>0</v>
      </c>
      <c r="I681" s="561">
        <f>+J618*G681+E681</f>
        <v>0</v>
      </c>
      <c r="J681" s="562">
        <f t="shared" si="60"/>
        <v>0</v>
      </c>
      <c r="K681" s="552"/>
      <c r="L681" s="573"/>
      <c r="M681" s="562">
        <f t="shared" si="54"/>
        <v>0</v>
      </c>
      <c r="N681" s="573"/>
      <c r="O681" s="562">
        <f t="shared" si="55"/>
        <v>0</v>
      </c>
      <c r="P681" s="562">
        <f t="shared" si="56"/>
        <v>0</v>
      </c>
    </row>
    <row r="682" spans="3:16">
      <c r="C682" s="506" t="s">
        <v>91</v>
      </c>
      <c r="D682" s="503"/>
      <c r="E682" s="503">
        <f>SUM(E622:E681)</f>
        <v>50142658.399999991</v>
      </c>
      <c r="F682" s="503"/>
      <c r="G682" s="503"/>
      <c r="H682" s="503">
        <f>SUM(H622:H681)</f>
        <v>155251970.23945501</v>
      </c>
      <c r="I682" s="503">
        <f>SUM(I622:I681)</f>
        <v>155251970.23945501</v>
      </c>
      <c r="J682" s="503">
        <f>SUM(J622:J681)</f>
        <v>0</v>
      </c>
      <c r="K682" s="503"/>
      <c r="L682" s="503"/>
      <c r="M682" s="503"/>
      <c r="N682" s="503"/>
      <c r="O682" s="503"/>
    </row>
    <row r="683" spans="3:16">
      <c r="D683" s="47"/>
      <c r="E683" s="3"/>
      <c r="F683" s="3"/>
      <c r="G683" s="3"/>
      <c r="H683" s="3"/>
      <c r="I683" s="490"/>
      <c r="J683" s="490"/>
      <c r="K683" s="503"/>
      <c r="L683" s="490"/>
      <c r="M683" s="490"/>
      <c r="N683" s="490"/>
      <c r="O683" s="490"/>
    </row>
    <row r="684" spans="3:16">
      <c r="C684" s="3" t="s">
        <v>13</v>
      </c>
      <c r="D684" s="47"/>
      <c r="E684" s="3"/>
      <c r="F684" s="3"/>
      <c r="G684" s="3"/>
      <c r="H684" s="3"/>
      <c r="I684" s="490"/>
      <c r="J684" s="490"/>
      <c r="K684" s="503"/>
      <c r="L684" s="490"/>
      <c r="M684" s="490"/>
      <c r="N684" s="490"/>
      <c r="O684" s="490"/>
    </row>
    <row r="685" spans="3:16">
      <c r="C685" s="3"/>
      <c r="D685" s="47"/>
      <c r="E685" s="3"/>
      <c r="F685" s="3"/>
      <c r="G685" s="3"/>
      <c r="H685" s="3"/>
      <c r="I685" s="490"/>
      <c r="J685" s="490"/>
      <c r="K685" s="503"/>
      <c r="L685" s="490"/>
      <c r="M685" s="490"/>
      <c r="N685" s="490"/>
      <c r="O685" s="490"/>
    </row>
    <row r="686" spans="3:16">
      <c r="C686" s="518" t="s">
        <v>14</v>
      </c>
      <c r="D686" s="506"/>
      <c r="E686" s="506"/>
      <c r="F686" s="506"/>
      <c r="G686" s="506"/>
      <c r="H686" s="503"/>
      <c r="I686" s="503"/>
      <c r="J686" s="564"/>
      <c r="K686" s="564"/>
      <c r="L686" s="564"/>
      <c r="M686" s="564"/>
      <c r="N686" s="564"/>
      <c r="O686" s="564"/>
    </row>
    <row r="687" spans="3:16">
      <c r="C687" s="507" t="s">
        <v>271</v>
      </c>
      <c r="D687" s="506"/>
      <c r="E687" s="506"/>
      <c r="F687" s="506"/>
      <c r="G687" s="506"/>
      <c r="H687" s="503"/>
      <c r="I687" s="503"/>
      <c r="J687" s="564"/>
      <c r="K687" s="564"/>
      <c r="L687" s="564"/>
      <c r="M687" s="564"/>
      <c r="N687" s="564"/>
      <c r="O687" s="564"/>
    </row>
    <row r="688" spans="3:16">
      <c r="C688" s="507" t="s">
        <v>92</v>
      </c>
      <c r="D688" s="506"/>
      <c r="E688" s="506"/>
      <c r="F688" s="506"/>
      <c r="G688" s="506"/>
      <c r="H688" s="503"/>
      <c r="I688" s="503"/>
      <c r="J688" s="564"/>
      <c r="K688" s="564"/>
      <c r="L688" s="564"/>
      <c r="M688" s="564"/>
      <c r="N688" s="564"/>
      <c r="O688" s="564"/>
    </row>
    <row r="689" spans="1:17">
      <c r="C689" s="507"/>
      <c r="D689" s="506"/>
      <c r="E689" s="506"/>
      <c r="F689" s="506"/>
      <c r="G689" s="506"/>
      <c r="H689" s="503"/>
      <c r="I689" s="503"/>
      <c r="J689" s="564"/>
      <c r="K689" s="564"/>
      <c r="L689" s="564"/>
      <c r="M689" s="564"/>
      <c r="N689" s="564"/>
      <c r="O689" s="564"/>
    </row>
    <row r="690" spans="1:17" ht="20.25">
      <c r="A690" s="447" t="str">
        <f>""&amp;A610&amp;" Worksheet K -  ATRR TRUE-UP Calculation for PJM Projects Charged to Benefiting Zones"</f>
        <v xml:space="preserve"> Worksheet K -  ATRR TRUE-UP Calculation for PJM Projects Charged to Benefiting Zones</v>
      </c>
      <c r="B690" s="3"/>
      <c r="C690" s="3"/>
      <c r="D690" s="47"/>
      <c r="E690" s="3"/>
      <c r="F690" s="489"/>
      <c r="G690" s="489"/>
      <c r="H690" s="3"/>
      <c r="I690" s="490"/>
      <c r="L690" s="398"/>
      <c r="M690" s="398"/>
      <c r="N690" s="398"/>
      <c r="O690" s="398" t="str">
        <f>"Page "&amp;SUM(Q$8:Q690)&amp;" of "</f>
        <v xml:space="preserve">Page 8 of </v>
      </c>
      <c r="P690" s="448">
        <f>COUNT(Q$8:Q$56657)</f>
        <v>10</v>
      </c>
      <c r="Q690">
        <v>1</v>
      </c>
    </row>
    <row r="691" spans="1:17">
      <c r="B691" s="3"/>
      <c r="C691" s="3"/>
      <c r="D691" s="47"/>
      <c r="E691" s="3"/>
      <c r="F691" s="3"/>
      <c r="G691" s="3"/>
      <c r="H691" s="3"/>
      <c r="I691" s="490"/>
      <c r="J691" s="3"/>
      <c r="K691" s="3"/>
    </row>
    <row r="692" spans="1:17" ht="18">
      <c r="B692" s="449" t="s">
        <v>472</v>
      </c>
      <c r="C692" s="122" t="s">
        <v>93</v>
      </c>
      <c r="D692" s="47"/>
      <c r="E692" s="3"/>
      <c r="F692" s="3"/>
      <c r="G692" s="3"/>
      <c r="H692" s="3"/>
      <c r="I692" s="490"/>
      <c r="J692" s="490"/>
      <c r="K692" s="503"/>
      <c r="L692" s="490"/>
      <c r="M692" s="490"/>
      <c r="N692" s="490"/>
      <c r="O692" s="490"/>
    </row>
    <row r="693" spans="1:17" ht="18.75">
      <c r="B693" s="449"/>
      <c r="C693" s="6"/>
      <c r="D693" s="47"/>
      <c r="E693" s="3"/>
      <c r="F693" s="3"/>
      <c r="G693" s="3"/>
      <c r="H693" s="3"/>
      <c r="I693" s="490"/>
      <c r="J693" s="490"/>
      <c r="K693" s="503"/>
      <c r="L693" s="490"/>
      <c r="M693" s="490"/>
      <c r="N693" s="490"/>
      <c r="O693" s="490"/>
    </row>
    <row r="694" spans="1:17" ht="18.75">
      <c r="B694" s="449"/>
      <c r="C694" s="6" t="s">
        <v>94</v>
      </c>
      <c r="D694" s="47"/>
      <c r="E694" s="3"/>
      <c r="F694" s="3"/>
      <c r="G694" s="3"/>
      <c r="H694" s="3"/>
      <c r="I694" s="490"/>
      <c r="J694" s="490"/>
      <c r="K694" s="503"/>
      <c r="L694" s="490"/>
      <c r="M694" s="490"/>
      <c r="N694" s="490"/>
      <c r="O694" s="490"/>
    </row>
    <row r="695" spans="1:17" ht="15.75" thickBot="1">
      <c r="C695" s="132"/>
      <c r="D695" s="47"/>
      <c r="E695" s="3"/>
      <c r="F695" s="3"/>
      <c r="G695" s="3"/>
      <c r="H695" s="3"/>
      <c r="I695" s="490"/>
      <c r="J695" s="490"/>
      <c r="K695" s="503"/>
      <c r="L695" s="490"/>
      <c r="M695" s="490"/>
      <c r="N695" s="490"/>
      <c r="O695" s="490"/>
    </row>
    <row r="696" spans="1:17" ht="15.75">
      <c r="C696" s="451" t="s">
        <v>95</v>
      </c>
      <c r="D696" s="47"/>
      <c r="E696" s="3"/>
      <c r="F696" s="3"/>
      <c r="G696" s="3"/>
      <c r="H696" s="566"/>
      <c r="I696" s="3" t="s">
        <v>74</v>
      </c>
      <c r="J696" s="3"/>
      <c r="K696" s="3"/>
      <c r="L696" s="593">
        <f>+J702</f>
        <v>2025</v>
      </c>
      <c r="M696" s="576" t="s">
        <v>52</v>
      </c>
      <c r="N696" s="576" t="s">
        <v>53</v>
      </c>
      <c r="O696" s="577" t="s">
        <v>55</v>
      </c>
    </row>
    <row r="697" spans="1:17" ht="15.75">
      <c r="C697" s="451"/>
      <c r="D697" s="47"/>
      <c r="E697" s="3"/>
      <c r="F697" s="3"/>
      <c r="H697" s="3"/>
      <c r="I697" s="513"/>
      <c r="J697" s="513"/>
      <c r="K697" s="514"/>
      <c r="L697" s="594" t="s">
        <v>243</v>
      </c>
      <c r="M697" s="595">
        <f>VLOOKUP(J702,C709:P768,10)</f>
        <v>7220182.9339956883</v>
      </c>
      <c r="N697" s="595">
        <f>VLOOKUP(J702,C709:P768,12)</f>
        <v>7220182.9339956883</v>
      </c>
      <c r="O697" s="596">
        <f>+N697-M697</f>
        <v>0</v>
      </c>
    </row>
    <row r="698" spans="1:17" ht="12.95" customHeight="1">
      <c r="C698" s="518" t="s">
        <v>96</v>
      </c>
      <c r="D698" s="1210" t="s">
        <v>822</v>
      </c>
      <c r="E698" s="1210"/>
      <c r="F698" s="1210"/>
      <c r="G698" s="1210"/>
      <c r="H698" s="1210"/>
      <c r="I698" s="1210"/>
      <c r="J698" s="490"/>
      <c r="K698" s="503"/>
      <c r="L698" s="594" t="s">
        <v>244</v>
      </c>
      <c r="M698" s="597">
        <f>VLOOKUP(J702,C709:P768,6)</f>
        <v>7000751.5045086266</v>
      </c>
      <c r="N698" s="597">
        <f>VLOOKUP(J702,C709:P768,7)</f>
        <v>7000751.5045086266</v>
      </c>
      <c r="O698" s="598">
        <f>+N698-M698</f>
        <v>0</v>
      </c>
    </row>
    <row r="699" spans="1:17" ht="13.5" thickBot="1">
      <c r="C699" s="522"/>
      <c r="D699" s="1210"/>
      <c r="E699" s="1210"/>
      <c r="F699" s="1210"/>
      <c r="G699" s="1210"/>
      <c r="H699" s="1210"/>
      <c r="I699" s="1210"/>
      <c r="J699" s="490"/>
      <c r="K699" s="503"/>
      <c r="L699" s="533" t="s">
        <v>245</v>
      </c>
      <c r="M699" s="599">
        <f>+M698-M697</f>
        <v>-219431.42948706169</v>
      </c>
      <c r="N699" s="599">
        <f>+N698-N697</f>
        <v>-219431.42948706169</v>
      </c>
      <c r="O699" s="600">
        <f>+O698-O697</f>
        <v>0</v>
      </c>
    </row>
    <row r="700" spans="1:17" ht="13.5" thickBot="1">
      <c r="C700" s="522"/>
      <c r="D700" s="3"/>
      <c r="E700" s="524"/>
      <c r="F700" s="524"/>
      <c r="G700" s="524"/>
      <c r="H700" s="524"/>
      <c r="I700" s="524"/>
      <c r="J700" s="524"/>
      <c r="K700" s="524"/>
      <c r="L700" s="524"/>
      <c r="M700" s="524"/>
      <c r="N700" s="524"/>
      <c r="O700" s="524"/>
    </row>
    <row r="701" spans="1:17" ht="13.5" thickBot="1">
      <c r="C701" s="525" t="s">
        <v>97</v>
      </c>
      <c r="D701" s="526"/>
      <c r="E701" s="526"/>
      <c r="F701" s="526"/>
      <c r="G701" s="526"/>
      <c r="H701" s="526"/>
      <c r="I701" s="526"/>
      <c r="J701" s="526"/>
    </row>
    <row r="702" spans="1:17" ht="15">
      <c r="A702" s="978"/>
      <c r="C702" s="528" t="s">
        <v>75</v>
      </c>
      <c r="D702" s="568">
        <v>62476006.199999996</v>
      </c>
      <c r="E702" s="3" t="s">
        <v>76</v>
      </c>
      <c r="H702" s="47"/>
      <c r="I702" s="47"/>
      <c r="J702" s="529">
        <f>$J$93</f>
        <v>2025</v>
      </c>
      <c r="K702" s="70"/>
      <c r="L702" s="1211" t="s">
        <v>77</v>
      </c>
      <c r="M702" s="1211"/>
      <c r="N702" s="1211"/>
      <c r="O702" s="1211"/>
    </row>
    <row r="703" spans="1:17">
      <c r="C703" s="528" t="s">
        <v>78</v>
      </c>
      <c r="D703" s="569">
        <v>2016</v>
      </c>
      <c r="E703" s="528" t="s">
        <v>79</v>
      </c>
      <c r="F703" s="47"/>
      <c r="G703" s="47"/>
      <c r="I703"/>
      <c r="J703" s="570">
        <f>IF(H696="",0,$F$17)</f>
        <v>0</v>
      </c>
      <c r="K703" s="530"/>
      <c r="L703" s="503" t="s">
        <v>285</v>
      </c>
    </row>
    <row r="704" spans="1:17">
      <c r="C704" s="528" t="s">
        <v>80</v>
      </c>
      <c r="D704" s="568">
        <v>12</v>
      </c>
      <c r="E704" s="528" t="s">
        <v>81</v>
      </c>
      <c r="F704" s="47"/>
      <c r="G704" s="47"/>
      <c r="I704"/>
      <c r="J704" s="531">
        <f>$F$70</f>
        <v>0.11032660055737779</v>
      </c>
      <c r="K704" s="489"/>
      <c r="L704" s="3" t="str">
        <f>"          INPUT TRUE-UP ARR (WITH &amp; WITHOUT INCENTIVES) FROM EACH PRIOR YEAR"</f>
        <v xml:space="preserve">          INPUT TRUE-UP ARR (WITH &amp; WITHOUT INCENTIVES) FROM EACH PRIOR YEAR</v>
      </c>
    </row>
    <row r="705" spans="2:16">
      <c r="C705" s="528" t="s">
        <v>82</v>
      </c>
      <c r="D705" s="532">
        <f>H$79</f>
        <v>36</v>
      </c>
      <c r="E705" s="528" t="s">
        <v>83</v>
      </c>
      <c r="F705" s="47"/>
      <c r="G705" s="47"/>
      <c r="I705"/>
      <c r="J705" s="531">
        <f>IF(H696="",+J704,$F$69)</f>
        <v>0.11032660055737779</v>
      </c>
      <c r="K705" s="489"/>
      <c r="L705" s="3" t="s">
        <v>165</v>
      </c>
      <c r="M705" s="489"/>
      <c r="N705" s="489"/>
      <c r="O705" s="489"/>
    </row>
    <row r="706" spans="2:16" ht="13.5" thickBot="1">
      <c r="C706" s="528" t="s">
        <v>84</v>
      </c>
      <c r="D706" s="969" t="s">
        <v>812</v>
      </c>
      <c r="E706" s="533" t="s">
        <v>85</v>
      </c>
      <c r="F706" s="534"/>
      <c r="G706" s="534"/>
      <c r="H706" s="535"/>
      <c r="I706" s="535"/>
      <c r="J706" s="521">
        <f>IF(D702=0,0,D702/D705)</f>
        <v>1735444.6166666665</v>
      </c>
      <c r="K706" s="503"/>
      <c r="L706" s="503" t="s">
        <v>166</v>
      </c>
      <c r="M706" s="503"/>
      <c r="N706" s="503"/>
      <c r="O706" s="503"/>
    </row>
    <row r="707" spans="2:16" ht="38.25">
      <c r="B707" s="450"/>
      <c r="C707" s="536" t="s">
        <v>75</v>
      </c>
      <c r="D707" s="537" t="s">
        <v>86</v>
      </c>
      <c r="E707" s="538" t="s">
        <v>87</v>
      </c>
      <c r="F707" s="537" t="s">
        <v>88</v>
      </c>
      <c r="G707" s="537" t="s">
        <v>246</v>
      </c>
      <c r="H707" s="538" t="s">
        <v>159</v>
      </c>
      <c r="I707" s="539" t="s">
        <v>159</v>
      </c>
      <c r="J707" s="536" t="s">
        <v>98</v>
      </c>
      <c r="K707" s="540"/>
      <c r="L707" s="538" t="s">
        <v>161</v>
      </c>
      <c r="M707" s="538" t="s">
        <v>167</v>
      </c>
      <c r="N707" s="538" t="s">
        <v>161</v>
      </c>
      <c r="O707" s="538" t="s">
        <v>169</v>
      </c>
      <c r="P707" s="538" t="s">
        <v>89</v>
      </c>
    </row>
    <row r="708" spans="2:16" ht="13.5" thickBot="1">
      <c r="C708" s="542" t="s">
        <v>475</v>
      </c>
      <c r="D708" s="543" t="s">
        <v>476</v>
      </c>
      <c r="E708" s="542" t="s">
        <v>369</v>
      </c>
      <c r="F708" s="543" t="s">
        <v>476</v>
      </c>
      <c r="G708" s="543" t="s">
        <v>476</v>
      </c>
      <c r="H708" s="544" t="s">
        <v>101</v>
      </c>
      <c r="I708" s="545" t="s">
        <v>103</v>
      </c>
      <c r="J708" s="542" t="s">
        <v>15</v>
      </c>
      <c r="K708" s="546"/>
      <c r="L708" s="544" t="s">
        <v>90</v>
      </c>
      <c r="M708" s="544" t="s">
        <v>90</v>
      </c>
      <c r="N708" s="544" t="s">
        <v>263</v>
      </c>
      <c r="O708" s="544" t="s">
        <v>263</v>
      </c>
      <c r="P708" s="544" t="s">
        <v>263</v>
      </c>
    </row>
    <row r="709" spans="2:16">
      <c r="C709" s="548">
        <f>IF(D703= "","-",D703)</f>
        <v>2016</v>
      </c>
      <c r="D709" s="506">
        <f>+D702</f>
        <v>62476006.199999996</v>
      </c>
      <c r="E709" s="554">
        <f>+J706/12*(12-D704)</f>
        <v>0</v>
      </c>
      <c r="F709" s="601">
        <f t="shared" ref="F709:F768" si="62">+D709-E709</f>
        <v>62476006.199999996</v>
      </c>
      <c r="G709" s="506">
        <f>+(D709+F709)/2</f>
        <v>62476006.199999996</v>
      </c>
      <c r="H709" s="550">
        <f>+J704*G709+E709</f>
        <v>6892765.3804476578</v>
      </c>
      <c r="I709" s="551">
        <f>+J705*G709+E709</f>
        <v>6892765.3804476578</v>
      </c>
      <c r="J709" s="552">
        <f>+I709-H709</f>
        <v>0</v>
      </c>
      <c r="K709" s="552"/>
      <c r="L709" s="571">
        <v>5764647</v>
      </c>
      <c r="M709" s="602">
        <f t="shared" ref="M709:M768" si="63">IF(L709&lt;&gt;0,+H709-L709,0)</f>
        <v>1128118.3804476578</v>
      </c>
      <c r="N709" s="571">
        <v>5764647</v>
      </c>
      <c r="O709" s="602">
        <f t="shared" ref="O709:O768" si="64">IF(N709&lt;&gt;0,+I709-N709,0)</f>
        <v>1128118.3804476578</v>
      </c>
      <c r="P709" s="602">
        <f t="shared" ref="P709:P768" si="65">+O709-M709</f>
        <v>0</v>
      </c>
    </row>
    <row r="710" spans="2:16">
      <c r="C710" s="548">
        <f>IF(D703="","-",+C709+1)</f>
        <v>2017</v>
      </c>
      <c r="D710" s="506">
        <f t="shared" ref="D710:D762" si="66">F709</f>
        <v>62476006.199999996</v>
      </c>
      <c r="E710" s="549">
        <f>IF(D710&gt;$J$706,$J$706,D710)</f>
        <v>1735444.6166666665</v>
      </c>
      <c r="F710" s="549">
        <f t="shared" si="62"/>
        <v>60740561.583333328</v>
      </c>
      <c r="G710" s="506">
        <f t="shared" ref="G710:G768" si="67">+(D710+F710)/2</f>
        <v>61608283.891666666</v>
      </c>
      <c r="H710" s="554">
        <f>+J704*G710+E710</f>
        <v>8532477.1446081083</v>
      </c>
      <c r="I710" s="555">
        <f>+J705*G710+E710</f>
        <v>8532477.1446081083</v>
      </c>
      <c r="J710" s="552">
        <f>+I710-H710</f>
        <v>0</v>
      </c>
      <c r="K710" s="552"/>
      <c r="L710" s="572">
        <v>7201236</v>
      </c>
      <c r="M710" s="552">
        <f t="shared" si="63"/>
        <v>1331241.1446081083</v>
      </c>
      <c r="N710" s="572">
        <v>7201236</v>
      </c>
      <c r="O710" s="552">
        <f t="shared" si="64"/>
        <v>1331241.1446081083</v>
      </c>
      <c r="P710" s="552">
        <f t="shared" si="65"/>
        <v>0</v>
      </c>
    </row>
    <row r="711" spans="2:16">
      <c r="C711" s="548">
        <f>IF(D703="","-",+C710+1)</f>
        <v>2018</v>
      </c>
      <c r="D711" s="506">
        <f t="shared" si="66"/>
        <v>60740561.583333328</v>
      </c>
      <c r="E711" s="549">
        <f t="shared" ref="E711:E768" si="68">IF(D711&gt;$J$706,$J$706,D711)</f>
        <v>1735444.6166666665</v>
      </c>
      <c r="F711" s="549">
        <f t="shared" si="62"/>
        <v>59005116.966666661</v>
      </c>
      <c r="G711" s="506">
        <f t="shared" si="67"/>
        <v>59872839.274999991</v>
      </c>
      <c r="H711" s="554">
        <f>+J704*G711+E711</f>
        <v>8341011.4395956714</v>
      </c>
      <c r="I711" s="555">
        <f>+J705*G711+E711</f>
        <v>8341011.4395956714</v>
      </c>
      <c r="J711" s="552">
        <f t="shared" ref="J711:J768" si="69">+I711-H711</f>
        <v>0</v>
      </c>
      <c r="K711" s="552"/>
      <c r="L711" s="572">
        <v>7115546</v>
      </c>
      <c r="M711" s="552">
        <f t="shared" si="63"/>
        <v>1225465.4395956714</v>
      </c>
      <c r="N711" s="572">
        <v>7115546</v>
      </c>
      <c r="O711" s="552">
        <f t="shared" si="64"/>
        <v>1225465.4395956714</v>
      </c>
      <c r="P711" s="552">
        <f t="shared" si="65"/>
        <v>0</v>
      </c>
    </row>
    <row r="712" spans="2:16">
      <c r="C712" s="548">
        <f>IF(D703="","-",+C711+1)</f>
        <v>2019</v>
      </c>
      <c r="D712" s="506">
        <f t="shared" si="66"/>
        <v>59005116.966666661</v>
      </c>
      <c r="E712" s="549">
        <f t="shared" si="68"/>
        <v>1735444.6166666665</v>
      </c>
      <c r="F712" s="549">
        <f t="shared" si="62"/>
        <v>57269672.349999994</v>
      </c>
      <c r="G712" s="506">
        <f t="shared" si="67"/>
        <v>58137394.658333331</v>
      </c>
      <c r="H712" s="554">
        <f>+J704*G712+E712</f>
        <v>8149545.7345832372</v>
      </c>
      <c r="I712" s="555">
        <f>+J705*G712+E712</f>
        <v>8149545.7345832372</v>
      </c>
      <c r="J712" s="552">
        <f t="shared" si="69"/>
        <v>0</v>
      </c>
      <c r="K712" s="552"/>
      <c r="L712" s="572">
        <v>7533264</v>
      </c>
      <c r="M712" s="552">
        <f t="shared" si="63"/>
        <v>616281.73458323721</v>
      </c>
      <c r="N712" s="572">
        <v>7533264</v>
      </c>
      <c r="O712" s="552">
        <f t="shared" si="64"/>
        <v>616281.73458323721</v>
      </c>
      <c r="P712" s="552">
        <f t="shared" si="65"/>
        <v>0</v>
      </c>
    </row>
    <row r="713" spans="2:16">
      <c r="C713" s="548">
        <f>IF(D703="","-",+C712+1)</f>
        <v>2020</v>
      </c>
      <c r="D713" s="970">
        <f t="shared" si="66"/>
        <v>57269672.349999994</v>
      </c>
      <c r="E713" s="549">
        <f t="shared" si="68"/>
        <v>1735444.6166666665</v>
      </c>
      <c r="F713" s="549">
        <f t="shared" si="62"/>
        <v>55534227.733333327</v>
      </c>
      <c r="G713" s="506">
        <f t="shared" si="67"/>
        <v>56401950.041666657</v>
      </c>
      <c r="H713" s="554">
        <f>+J704*G713+E713</f>
        <v>7958080.0295708012</v>
      </c>
      <c r="I713" s="555">
        <f>+J705*G713+E713</f>
        <v>7958080.0295708012</v>
      </c>
      <c r="J713" s="552">
        <f t="shared" si="69"/>
        <v>0</v>
      </c>
      <c r="K713" s="552"/>
      <c r="L713" s="572">
        <v>4004462.7144813207</v>
      </c>
      <c r="M713" s="552">
        <f t="shared" si="63"/>
        <v>3953617.3150894805</v>
      </c>
      <c r="N713" s="572">
        <v>4004462.7144813207</v>
      </c>
      <c r="O713" s="552">
        <f t="shared" si="64"/>
        <v>3953617.3150894805</v>
      </c>
      <c r="P713" s="552">
        <f t="shared" si="65"/>
        <v>0</v>
      </c>
    </row>
    <row r="714" spans="2:16">
      <c r="C714" s="548">
        <f>IF(D703="","-",+C713+1)</f>
        <v>2021</v>
      </c>
      <c r="D714" s="970">
        <f t="shared" si="66"/>
        <v>55534227.733333327</v>
      </c>
      <c r="E714" s="549">
        <f t="shared" si="68"/>
        <v>1735444.6166666665</v>
      </c>
      <c r="F714" s="549">
        <f t="shared" si="62"/>
        <v>53798783.11666666</v>
      </c>
      <c r="G714" s="506">
        <f t="shared" si="67"/>
        <v>54666505.424999997</v>
      </c>
      <c r="H714" s="554">
        <f>+J704*G714+E714</f>
        <v>7766614.324558367</v>
      </c>
      <c r="I714" s="555">
        <f>+J705*G714+E714</f>
        <v>7766614.324558367</v>
      </c>
      <c r="J714" s="552">
        <f t="shared" si="69"/>
        <v>0</v>
      </c>
      <c r="K714" s="552"/>
      <c r="L714" s="572">
        <v>7598316.548162899</v>
      </c>
      <c r="M714" s="552">
        <f t="shared" si="63"/>
        <v>168297.77639546804</v>
      </c>
      <c r="N714" s="572">
        <v>7598316.548162899</v>
      </c>
      <c r="O714" s="552">
        <f t="shared" si="64"/>
        <v>168297.77639546804</v>
      </c>
      <c r="P714" s="552">
        <f t="shared" si="65"/>
        <v>0</v>
      </c>
    </row>
    <row r="715" spans="2:16">
      <c r="C715" s="548">
        <f>IF(D703="","-",+C714+1)</f>
        <v>2022</v>
      </c>
      <c r="D715" s="970">
        <f t="shared" si="66"/>
        <v>53798783.11666666</v>
      </c>
      <c r="E715" s="549">
        <f t="shared" si="68"/>
        <v>1735444.6166666665</v>
      </c>
      <c r="F715" s="549">
        <f t="shared" si="62"/>
        <v>52063338.499999993</v>
      </c>
      <c r="G715" s="506">
        <f t="shared" si="67"/>
        <v>52931060.808333322</v>
      </c>
      <c r="H715" s="554">
        <f>+J704*G715+E715</f>
        <v>7575148.619545931</v>
      </c>
      <c r="I715" s="555">
        <f>+J705*G715+E715</f>
        <v>7575148.619545931</v>
      </c>
      <c r="J715" s="552">
        <f t="shared" si="69"/>
        <v>0</v>
      </c>
      <c r="K715" s="552"/>
      <c r="L715" s="572">
        <v>7752754.0788356252</v>
      </c>
      <c r="M715" s="552">
        <f t="shared" si="63"/>
        <v>-177605.4592896942</v>
      </c>
      <c r="N715" s="572">
        <v>7752754.0788356252</v>
      </c>
      <c r="O715" s="552">
        <f t="shared" si="64"/>
        <v>-177605.4592896942</v>
      </c>
      <c r="P715" s="552">
        <f t="shared" si="65"/>
        <v>0</v>
      </c>
    </row>
    <row r="716" spans="2:16">
      <c r="C716" s="548">
        <f>IF(D703="","-",+C715+1)</f>
        <v>2023</v>
      </c>
      <c r="D716" s="506">
        <f t="shared" si="66"/>
        <v>52063338.499999993</v>
      </c>
      <c r="E716" s="549">
        <f t="shared" si="68"/>
        <v>1735444.6166666665</v>
      </c>
      <c r="F716" s="549">
        <f t="shared" si="62"/>
        <v>50327893.883333325</v>
      </c>
      <c r="G716" s="506">
        <f t="shared" si="67"/>
        <v>51195616.191666663</v>
      </c>
      <c r="H716" s="554">
        <f>+J704*G716+E716</f>
        <v>7383682.9145334968</v>
      </c>
      <c r="I716" s="555">
        <f>+J705*G716+E716</f>
        <v>7383682.9145334968</v>
      </c>
      <c r="J716" s="552">
        <f t="shared" si="69"/>
        <v>0</v>
      </c>
      <c r="K716" s="552"/>
      <c r="L716" s="572">
        <v>7567767.6324523874</v>
      </c>
      <c r="M716" s="552">
        <f t="shared" si="63"/>
        <v>-184084.71791889053</v>
      </c>
      <c r="N716" s="572">
        <v>7567767.6324523874</v>
      </c>
      <c r="O716" s="552">
        <f t="shared" si="64"/>
        <v>-184084.71791889053</v>
      </c>
      <c r="P716" s="552">
        <f t="shared" si="65"/>
        <v>0</v>
      </c>
    </row>
    <row r="717" spans="2:16">
      <c r="C717" s="548">
        <f>IF(D703="","-",+C716+1)</f>
        <v>2024</v>
      </c>
      <c r="D717" s="506">
        <f t="shared" si="66"/>
        <v>50327893.883333325</v>
      </c>
      <c r="E717" s="549">
        <f t="shared" si="68"/>
        <v>1735444.6166666665</v>
      </c>
      <c r="F717" s="549">
        <f t="shared" si="62"/>
        <v>48592449.266666658</v>
      </c>
      <c r="G717" s="506">
        <f t="shared" si="67"/>
        <v>49460171.574999988</v>
      </c>
      <c r="H717" s="554">
        <f>+J704*G717+E717</f>
        <v>7192217.2095210608</v>
      </c>
      <c r="I717" s="555">
        <f>+J705*G717+E717</f>
        <v>7192217.2095210608</v>
      </c>
      <c r="J717" s="552">
        <f t="shared" si="69"/>
        <v>0</v>
      </c>
      <c r="K717" s="552"/>
      <c r="L717" s="572">
        <v>7344080.0445956755</v>
      </c>
      <c r="M717" s="552">
        <f t="shared" si="63"/>
        <v>-151862.83507461473</v>
      </c>
      <c r="N717" s="572">
        <v>7344080.0445956755</v>
      </c>
      <c r="O717" s="552">
        <f t="shared" si="64"/>
        <v>-151862.83507461473</v>
      </c>
      <c r="P717" s="552">
        <f t="shared" si="65"/>
        <v>0</v>
      </c>
    </row>
    <row r="718" spans="2:16">
      <c r="C718" s="548">
        <f>IF(D703="","-",+C717+1)</f>
        <v>2025</v>
      </c>
      <c r="D718" s="506">
        <f t="shared" si="66"/>
        <v>48592449.266666658</v>
      </c>
      <c r="E718" s="549">
        <f t="shared" si="68"/>
        <v>1735444.6166666665</v>
      </c>
      <c r="F718" s="549">
        <f t="shared" si="62"/>
        <v>46857004.649999991</v>
      </c>
      <c r="G718" s="506">
        <f t="shared" si="67"/>
        <v>47724726.958333328</v>
      </c>
      <c r="H718" s="554">
        <f>+J704*G718+E718</f>
        <v>7000751.5045086266</v>
      </c>
      <c r="I718" s="555">
        <f>+J705*G718+E718</f>
        <v>7000751.5045086266</v>
      </c>
      <c r="J718" s="552">
        <f t="shared" si="69"/>
        <v>0</v>
      </c>
      <c r="K718" s="552"/>
      <c r="L718" s="572">
        <v>7220182.9339956883</v>
      </c>
      <c r="M718" s="552">
        <f t="shared" si="63"/>
        <v>-219431.42948706169</v>
      </c>
      <c r="N718" s="572">
        <v>7220182.9339956883</v>
      </c>
      <c r="O718" s="552">
        <f t="shared" si="64"/>
        <v>-219431.42948706169</v>
      </c>
      <c r="P718" s="552">
        <f t="shared" si="65"/>
        <v>0</v>
      </c>
    </row>
    <row r="719" spans="2:16">
      <c r="C719" s="548">
        <f>IF(D703="","-",+C718+1)</f>
        <v>2026</v>
      </c>
      <c r="D719" s="506">
        <f t="shared" si="66"/>
        <v>46857004.649999991</v>
      </c>
      <c r="E719" s="549">
        <f t="shared" si="68"/>
        <v>1735444.6166666665</v>
      </c>
      <c r="F719" s="549">
        <f t="shared" si="62"/>
        <v>45121560.033333324</v>
      </c>
      <c r="G719" s="506">
        <f t="shared" si="67"/>
        <v>45989282.341666654</v>
      </c>
      <c r="H719" s="554">
        <f>+J704*G719+E719</f>
        <v>6809285.7994961916</v>
      </c>
      <c r="I719" s="555">
        <f>+J705*G719+E719</f>
        <v>6809285.7994961916</v>
      </c>
      <c r="J719" s="552">
        <f t="shared" si="69"/>
        <v>0</v>
      </c>
      <c r="K719" s="552"/>
      <c r="L719" s="572"/>
      <c r="M719" s="552">
        <f t="shared" si="63"/>
        <v>0</v>
      </c>
      <c r="N719" s="572"/>
      <c r="O719" s="552">
        <f t="shared" si="64"/>
        <v>0</v>
      </c>
      <c r="P719" s="552">
        <f t="shared" si="65"/>
        <v>0</v>
      </c>
    </row>
    <row r="720" spans="2:16">
      <c r="C720" s="548">
        <f>IF(D703="","-",+C719+1)</f>
        <v>2027</v>
      </c>
      <c r="D720" s="506">
        <f t="shared" si="66"/>
        <v>45121560.033333324</v>
      </c>
      <c r="E720" s="549">
        <f t="shared" si="68"/>
        <v>1735444.6166666665</v>
      </c>
      <c r="F720" s="549">
        <f t="shared" si="62"/>
        <v>43386115.416666657</v>
      </c>
      <c r="G720" s="506">
        <f t="shared" si="67"/>
        <v>44253837.724999994</v>
      </c>
      <c r="H720" s="554">
        <f>+J704*G720+E720</f>
        <v>6617820.0944837574</v>
      </c>
      <c r="I720" s="555">
        <f>+J705*G720+E720</f>
        <v>6617820.0944837574</v>
      </c>
      <c r="J720" s="552">
        <f t="shared" si="69"/>
        <v>0</v>
      </c>
      <c r="K720" s="552"/>
      <c r="L720" s="572"/>
      <c r="M720" s="552">
        <f t="shared" si="63"/>
        <v>0</v>
      </c>
      <c r="N720" s="572"/>
      <c r="O720" s="552">
        <f t="shared" si="64"/>
        <v>0</v>
      </c>
      <c r="P720" s="552">
        <f t="shared" si="65"/>
        <v>0</v>
      </c>
    </row>
    <row r="721" spans="3:16">
      <c r="C721" s="548">
        <f>IF(D703="","-",+C720+1)</f>
        <v>2028</v>
      </c>
      <c r="D721" s="506">
        <f t="shared" si="66"/>
        <v>43386115.416666657</v>
      </c>
      <c r="E721" s="549">
        <f t="shared" si="68"/>
        <v>1735444.6166666665</v>
      </c>
      <c r="F721" s="549">
        <f t="shared" si="62"/>
        <v>41650670.79999999</v>
      </c>
      <c r="G721" s="506">
        <f t="shared" si="67"/>
        <v>42518393.108333319</v>
      </c>
      <c r="H721" s="554">
        <f>+J704*G721+E721</f>
        <v>6426354.3894713214</v>
      </c>
      <c r="I721" s="555">
        <f>+J705*G721+E721</f>
        <v>6426354.3894713214</v>
      </c>
      <c r="J721" s="552">
        <f t="shared" si="69"/>
        <v>0</v>
      </c>
      <c r="K721" s="552"/>
      <c r="L721" s="572"/>
      <c r="M721" s="552">
        <f t="shared" si="63"/>
        <v>0</v>
      </c>
      <c r="N721" s="572"/>
      <c r="O721" s="552">
        <f t="shared" si="64"/>
        <v>0</v>
      </c>
      <c r="P721" s="552">
        <f t="shared" si="65"/>
        <v>0</v>
      </c>
    </row>
    <row r="722" spans="3:16">
      <c r="C722" s="548">
        <f>IF(D703="","-",+C721+1)</f>
        <v>2029</v>
      </c>
      <c r="D722" s="506">
        <f t="shared" si="66"/>
        <v>41650670.79999999</v>
      </c>
      <c r="E722" s="549">
        <f t="shared" si="68"/>
        <v>1735444.6166666665</v>
      </c>
      <c r="F722" s="549">
        <f t="shared" si="62"/>
        <v>39915226.183333322</v>
      </c>
      <c r="G722" s="506">
        <f t="shared" si="67"/>
        <v>40782948.49166666</v>
      </c>
      <c r="H722" s="554">
        <f>+J704*G722+E722</f>
        <v>6234888.6844588872</v>
      </c>
      <c r="I722" s="555">
        <f>+J705*G722+E722</f>
        <v>6234888.6844588872</v>
      </c>
      <c r="J722" s="552">
        <f t="shared" si="69"/>
        <v>0</v>
      </c>
      <c r="K722" s="552"/>
      <c r="L722" s="572"/>
      <c r="M722" s="552">
        <f t="shared" si="63"/>
        <v>0</v>
      </c>
      <c r="N722" s="572"/>
      <c r="O722" s="552">
        <f t="shared" si="64"/>
        <v>0</v>
      </c>
      <c r="P722" s="552">
        <f t="shared" si="65"/>
        <v>0</v>
      </c>
    </row>
    <row r="723" spans="3:16">
      <c r="C723" s="548">
        <f>IF(D703="","-",+C722+1)</f>
        <v>2030</v>
      </c>
      <c r="D723" s="506">
        <f t="shared" si="66"/>
        <v>39915226.183333322</v>
      </c>
      <c r="E723" s="549">
        <f t="shared" si="68"/>
        <v>1735444.6166666665</v>
      </c>
      <c r="F723" s="549">
        <f t="shared" si="62"/>
        <v>38179781.566666655</v>
      </c>
      <c r="G723" s="506">
        <f t="shared" si="67"/>
        <v>39047503.874999985</v>
      </c>
      <c r="H723" s="554">
        <f>+J704*G723+E723</f>
        <v>6043422.9794464512</v>
      </c>
      <c r="I723" s="555">
        <f>+J705*G723+E723</f>
        <v>6043422.9794464512</v>
      </c>
      <c r="J723" s="552">
        <f t="shared" si="69"/>
        <v>0</v>
      </c>
      <c r="K723" s="552"/>
      <c r="L723" s="572"/>
      <c r="M723" s="552">
        <f t="shared" si="63"/>
        <v>0</v>
      </c>
      <c r="N723" s="572"/>
      <c r="O723" s="552">
        <f t="shared" si="64"/>
        <v>0</v>
      </c>
      <c r="P723" s="552">
        <f t="shared" si="65"/>
        <v>0</v>
      </c>
    </row>
    <row r="724" spans="3:16">
      <c r="C724" s="548">
        <f>IF(D703="","-",+C723+1)</f>
        <v>2031</v>
      </c>
      <c r="D724" s="506">
        <f t="shared" si="66"/>
        <v>38179781.566666655</v>
      </c>
      <c r="E724" s="549">
        <f t="shared" si="68"/>
        <v>1735444.6166666665</v>
      </c>
      <c r="F724" s="549">
        <f t="shared" si="62"/>
        <v>36444336.949999988</v>
      </c>
      <c r="G724" s="506">
        <f t="shared" si="67"/>
        <v>37312059.258333325</v>
      </c>
      <c r="H724" s="554">
        <f>+J704*G724+E724</f>
        <v>5851957.274434017</v>
      </c>
      <c r="I724" s="555">
        <f>+J705*G724+E724</f>
        <v>5851957.274434017</v>
      </c>
      <c r="J724" s="552">
        <f t="shared" si="69"/>
        <v>0</v>
      </c>
      <c r="K724" s="552"/>
      <c r="L724" s="572"/>
      <c r="M724" s="552">
        <f t="shared" si="63"/>
        <v>0</v>
      </c>
      <c r="N724" s="572"/>
      <c r="O724" s="552">
        <f t="shared" si="64"/>
        <v>0</v>
      </c>
      <c r="P724" s="552">
        <f t="shared" si="65"/>
        <v>0</v>
      </c>
    </row>
    <row r="725" spans="3:16">
      <c r="C725" s="548">
        <f>IF(D703="","-",+C724+1)</f>
        <v>2032</v>
      </c>
      <c r="D725" s="506">
        <f t="shared" si="66"/>
        <v>36444336.949999988</v>
      </c>
      <c r="E725" s="549">
        <f t="shared" si="68"/>
        <v>1735444.6166666665</v>
      </c>
      <c r="F725" s="549">
        <f t="shared" si="62"/>
        <v>34708892.333333321</v>
      </c>
      <c r="G725" s="506">
        <f t="shared" si="67"/>
        <v>35576614.641666651</v>
      </c>
      <c r="H725" s="554">
        <f>+J704*G725+E725</f>
        <v>5660491.569421581</v>
      </c>
      <c r="I725" s="555">
        <f>+J705*G725+E725</f>
        <v>5660491.569421581</v>
      </c>
      <c r="J725" s="552">
        <f t="shared" si="69"/>
        <v>0</v>
      </c>
      <c r="K725" s="552"/>
      <c r="L725" s="572"/>
      <c r="M725" s="552">
        <f t="shared" si="63"/>
        <v>0</v>
      </c>
      <c r="N725" s="572"/>
      <c r="O725" s="552">
        <f t="shared" si="64"/>
        <v>0</v>
      </c>
      <c r="P725" s="552">
        <f t="shared" si="65"/>
        <v>0</v>
      </c>
    </row>
    <row r="726" spans="3:16">
      <c r="C726" s="548">
        <f>IF(D703="","-",+C725+1)</f>
        <v>2033</v>
      </c>
      <c r="D726" s="506">
        <f t="shared" si="66"/>
        <v>34708892.333333321</v>
      </c>
      <c r="E726" s="549">
        <f t="shared" si="68"/>
        <v>1735444.6166666665</v>
      </c>
      <c r="F726" s="549">
        <f t="shared" si="62"/>
        <v>32973447.716666654</v>
      </c>
      <c r="G726" s="506">
        <f t="shared" si="67"/>
        <v>33841170.024999991</v>
      </c>
      <c r="H726" s="554">
        <f>+J704*G726+E726</f>
        <v>5469025.8644091468</v>
      </c>
      <c r="I726" s="555">
        <f>+J705*G726+E726</f>
        <v>5469025.8644091468</v>
      </c>
      <c r="J726" s="552">
        <f t="shared" si="69"/>
        <v>0</v>
      </c>
      <c r="K726" s="552"/>
      <c r="L726" s="572"/>
      <c r="M726" s="552">
        <f t="shared" si="63"/>
        <v>0</v>
      </c>
      <c r="N726" s="572"/>
      <c r="O726" s="552">
        <f t="shared" si="64"/>
        <v>0</v>
      </c>
      <c r="P726" s="552">
        <f t="shared" si="65"/>
        <v>0</v>
      </c>
    </row>
    <row r="727" spans="3:16">
      <c r="C727" s="548">
        <f>IF(D703="","-",+C726+1)</f>
        <v>2034</v>
      </c>
      <c r="D727" s="506">
        <f t="shared" si="66"/>
        <v>32973447.716666654</v>
      </c>
      <c r="E727" s="549">
        <f t="shared" si="68"/>
        <v>1735444.6166666665</v>
      </c>
      <c r="F727" s="549">
        <f t="shared" si="62"/>
        <v>31238003.099999987</v>
      </c>
      <c r="G727" s="506">
        <f t="shared" si="67"/>
        <v>32105725.40833332</v>
      </c>
      <c r="H727" s="554">
        <f>+J704*G727+E727</f>
        <v>5277560.1593967117</v>
      </c>
      <c r="I727" s="555">
        <f>+J705*G727+E727</f>
        <v>5277560.1593967117</v>
      </c>
      <c r="J727" s="552">
        <f t="shared" si="69"/>
        <v>0</v>
      </c>
      <c r="K727" s="552"/>
      <c r="L727" s="572"/>
      <c r="M727" s="552">
        <f t="shared" si="63"/>
        <v>0</v>
      </c>
      <c r="N727" s="572"/>
      <c r="O727" s="552">
        <f t="shared" si="64"/>
        <v>0</v>
      </c>
      <c r="P727" s="552">
        <f t="shared" si="65"/>
        <v>0</v>
      </c>
    </row>
    <row r="728" spans="3:16">
      <c r="C728" s="548">
        <f>IF(D703="","-",+C727+1)</f>
        <v>2035</v>
      </c>
      <c r="D728" s="506">
        <f t="shared" si="66"/>
        <v>31238003.099999987</v>
      </c>
      <c r="E728" s="549">
        <f t="shared" si="68"/>
        <v>1735444.6166666665</v>
      </c>
      <c r="F728" s="549">
        <f t="shared" si="62"/>
        <v>29502558.483333319</v>
      </c>
      <c r="G728" s="506">
        <f t="shared" si="67"/>
        <v>30370280.791666653</v>
      </c>
      <c r="H728" s="554">
        <f>+J704*G728+E728</f>
        <v>5086094.4543842766</v>
      </c>
      <c r="I728" s="555">
        <f>+J705*G728+E728</f>
        <v>5086094.4543842766</v>
      </c>
      <c r="J728" s="552">
        <f t="shared" si="69"/>
        <v>0</v>
      </c>
      <c r="K728" s="552"/>
      <c r="L728" s="572"/>
      <c r="M728" s="552">
        <f t="shared" si="63"/>
        <v>0</v>
      </c>
      <c r="N728" s="572"/>
      <c r="O728" s="552">
        <f t="shared" si="64"/>
        <v>0</v>
      </c>
      <c r="P728" s="552">
        <f t="shared" si="65"/>
        <v>0</v>
      </c>
    </row>
    <row r="729" spans="3:16">
      <c r="C729" s="548">
        <f>IF(D703="","-",+C728+1)</f>
        <v>2036</v>
      </c>
      <c r="D729" s="506">
        <f t="shared" si="66"/>
        <v>29502558.483333319</v>
      </c>
      <c r="E729" s="549">
        <f t="shared" si="68"/>
        <v>1735444.6166666665</v>
      </c>
      <c r="F729" s="549">
        <f t="shared" si="62"/>
        <v>27767113.866666652</v>
      </c>
      <c r="G729" s="506">
        <f t="shared" si="67"/>
        <v>28634836.174999986</v>
      </c>
      <c r="H729" s="554">
        <f>+J704*G729+E729</f>
        <v>4894628.7493718415</v>
      </c>
      <c r="I729" s="555">
        <f>+J705*G729+E729</f>
        <v>4894628.7493718415</v>
      </c>
      <c r="J729" s="552">
        <f t="shared" si="69"/>
        <v>0</v>
      </c>
      <c r="K729" s="552"/>
      <c r="L729" s="572"/>
      <c r="M729" s="552">
        <f t="shared" si="63"/>
        <v>0</v>
      </c>
      <c r="N729" s="572"/>
      <c r="O729" s="552">
        <f t="shared" si="64"/>
        <v>0</v>
      </c>
      <c r="P729" s="552">
        <f t="shared" si="65"/>
        <v>0</v>
      </c>
    </row>
    <row r="730" spans="3:16">
      <c r="C730" s="548">
        <f>IF(D703="","-",+C729+1)</f>
        <v>2037</v>
      </c>
      <c r="D730" s="506">
        <f t="shared" si="66"/>
        <v>27767113.866666652</v>
      </c>
      <c r="E730" s="549">
        <f t="shared" si="68"/>
        <v>1735444.6166666665</v>
      </c>
      <c r="F730" s="549">
        <f t="shared" si="62"/>
        <v>26031669.249999985</v>
      </c>
      <c r="G730" s="506">
        <f t="shared" si="67"/>
        <v>26899391.558333319</v>
      </c>
      <c r="H730" s="554">
        <f>+J704*G730+E730</f>
        <v>4703163.0443594065</v>
      </c>
      <c r="I730" s="555">
        <f>+J705*G730+E730</f>
        <v>4703163.0443594065</v>
      </c>
      <c r="J730" s="552">
        <f t="shared" si="69"/>
        <v>0</v>
      </c>
      <c r="K730" s="552"/>
      <c r="L730" s="572"/>
      <c r="M730" s="552">
        <f t="shared" si="63"/>
        <v>0</v>
      </c>
      <c r="N730" s="572"/>
      <c r="O730" s="552">
        <f t="shared" si="64"/>
        <v>0</v>
      </c>
      <c r="P730" s="552">
        <f t="shared" si="65"/>
        <v>0</v>
      </c>
    </row>
    <row r="731" spans="3:16">
      <c r="C731" s="548">
        <f>IF(D703="","-",+C730+1)</f>
        <v>2038</v>
      </c>
      <c r="D731" s="506">
        <f t="shared" si="66"/>
        <v>26031669.249999985</v>
      </c>
      <c r="E731" s="549">
        <f t="shared" si="68"/>
        <v>1735444.6166666665</v>
      </c>
      <c r="F731" s="549">
        <f t="shared" si="62"/>
        <v>24296224.633333318</v>
      </c>
      <c r="G731" s="506">
        <f t="shared" si="67"/>
        <v>25163946.941666652</v>
      </c>
      <c r="H731" s="554">
        <f>+J704*G731+E731</f>
        <v>4511697.3393469714</v>
      </c>
      <c r="I731" s="555">
        <f>+J705*G731+E731</f>
        <v>4511697.3393469714</v>
      </c>
      <c r="J731" s="552">
        <f t="shared" si="69"/>
        <v>0</v>
      </c>
      <c r="K731" s="552"/>
      <c r="L731" s="572"/>
      <c r="M731" s="552">
        <f t="shared" si="63"/>
        <v>0</v>
      </c>
      <c r="N731" s="572"/>
      <c r="O731" s="552">
        <f t="shared" si="64"/>
        <v>0</v>
      </c>
      <c r="P731" s="552">
        <f t="shared" si="65"/>
        <v>0</v>
      </c>
    </row>
    <row r="732" spans="3:16">
      <c r="C732" s="548">
        <f>IF(D703="","-",+C731+1)</f>
        <v>2039</v>
      </c>
      <c r="D732" s="506">
        <f t="shared" si="66"/>
        <v>24296224.633333318</v>
      </c>
      <c r="E732" s="549">
        <f t="shared" si="68"/>
        <v>1735444.6166666665</v>
      </c>
      <c r="F732" s="549">
        <f t="shared" si="62"/>
        <v>22560780.016666651</v>
      </c>
      <c r="G732" s="506">
        <f t="shared" si="67"/>
        <v>23428502.324999984</v>
      </c>
      <c r="H732" s="554">
        <f>+J704*G732+E732</f>
        <v>4320231.6343345363</v>
      </c>
      <c r="I732" s="555">
        <f>+J705*G732+E732</f>
        <v>4320231.6343345363</v>
      </c>
      <c r="J732" s="552">
        <f t="shared" si="69"/>
        <v>0</v>
      </c>
      <c r="K732" s="552"/>
      <c r="L732" s="572"/>
      <c r="M732" s="552">
        <f t="shared" si="63"/>
        <v>0</v>
      </c>
      <c r="N732" s="572"/>
      <c r="O732" s="552">
        <f t="shared" si="64"/>
        <v>0</v>
      </c>
      <c r="P732" s="552">
        <f t="shared" si="65"/>
        <v>0</v>
      </c>
    </row>
    <row r="733" spans="3:16">
      <c r="C733" s="548">
        <f>IF(D703="","-",+C732+1)</f>
        <v>2040</v>
      </c>
      <c r="D733" s="506">
        <f t="shared" si="66"/>
        <v>22560780.016666651</v>
      </c>
      <c r="E733" s="549">
        <f t="shared" si="68"/>
        <v>1735444.6166666665</v>
      </c>
      <c r="F733" s="549">
        <f t="shared" si="62"/>
        <v>20825335.399999984</v>
      </c>
      <c r="G733" s="506">
        <f t="shared" si="67"/>
        <v>21693057.708333317</v>
      </c>
      <c r="H733" s="554">
        <f>+J704*G733+E733</f>
        <v>4128765.9293221021</v>
      </c>
      <c r="I733" s="555">
        <f>+J705*G733+E733</f>
        <v>4128765.9293221021</v>
      </c>
      <c r="J733" s="552">
        <f t="shared" si="69"/>
        <v>0</v>
      </c>
      <c r="K733" s="552"/>
      <c r="L733" s="572"/>
      <c r="M733" s="552">
        <f t="shared" si="63"/>
        <v>0</v>
      </c>
      <c r="N733" s="572"/>
      <c r="O733" s="552">
        <f t="shared" si="64"/>
        <v>0</v>
      </c>
      <c r="P733" s="552">
        <f t="shared" si="65"/>
        <v>0</v>
      </c>
    </row>
    <row r="734" spans="3:16">
      <c r="C734" s="548">
        <f>IF(D703="","-",+C733+1)</f>
        <v>2041</v>
      </c>
      <c r="D734" s="506">
        <f t="shared" si="66"/>
        <v>20825335.399999984</v>
      </c>
      <c r="E734" s="549">
        <f t="shared" si="68"/>
        <v>1735444.6166666665</v>
      </c>
      <c r="F734" s="549">
        <f t="shared" si="62"/>
        <v>19089890.783333316</v>
      </c>
      <c r="G734" s="506">
        <f t="shared" si="67"/>
        <v>19957613.09166665</v>
      </c>
      <c r="H734" s="554">
        <f>+J704*G734+E734</f>
        <v>3937300.224309667</v>
      </c>
      <c r="I734" s="555">
        <f>+J705*G734+E734</f>
        <v>3937300.224309667</v>
      </c>
      <c r="J734" s="552">
        <f t="shared" si="69"/>
        <v>0</v>
      </c>
      <c r="K734" s="552"/>
      <c r="L734" s="572"/>
      <c r="M734" s="552">
        <f t="shared" si="63"/>
        <v>0</v>
      </c>
      <c r="N734" s="572"/>
      <c r="O734" s="552">
        <f t="shared" si="64"/>
        <v>0</v>
      </c>
      <c r="P734" s="552">
        <f t="shared" si="65"/>
        <v>0</v>
      </c>
    </row>
    <row r="735" spans="3:16">
      <c r="C735" s="548">
        <f>IF(D703="","-",+C734+1)</f>
        <v>2042</v>
      </c>
      <c r="D735" s="506">
        <f t="shared" si="66"/>
        <v>19089890.783333316</v>
      </c>
      <c r="E735" s="549">
        <f t="shared" si="68"/>
        <v>1735444.6166666665</v>
      </c>
      <c r="F735" s="549">
        <f t="shared" si="62"/>
        <v>17354446.166666649</v>
      </c>
      <c r="G735" s="506">
        <f t="shared" si="67"/>
        <v>18222168.474999983</v>
      </c>
      <c r="H735" s="554">
        <f>+J704*G735+E735</f>
        <v>3745834.5192972319</v>
      </c>
      <c r="I735" s="555">
        <f>+J705*G735+E735</f>
        <v>3745834.5192972319</v>
      </c>
      <c r="J735" s="552">
        <f t="shared" si="69"/>
        <v>0</v>
      </c>
      <c r="K735" s="552"/>
      <c r="L735" s="572"/>
      <c r="M735" s="552">
        <f t="shared" si="63"/>
        <v>0</v>
      </c>
      <c r="N735" s="572"/>
      <c r="O735" s="552">
        <f t="shared" si="64"/>
        <v>0</v>
      </c>
      <c r="P735" s="552">
        <f t="shared" si="65"/>
        <v>0</v>
      </c>
    </row>
    <row r="736" spans="3:16">
      <c r="C736" s="548">
        <f>IF(D703="","-",+C735+1)</f>
        <v>2043</v>
      </c>
      <c r="D736" s="506">
        <f t="shared" si="66"/>
        <v>17354446.166666649</v>
      </c>
      <c r="E736" s="549">
        <f t="shared" si="68"/>
        <v>1735444.6166666665</v>
      </c>
      <c r="F736" s="549">
        <f t="shared" si="62"/>
        <v>15619001.549999982</v>
      </c>
      <c r="G736" s="506">
        <f t="shared" si="67"/>
        <v>16486723.858333316</v>
      </c>
      <c r="H736" s="554">
        <f>+J704*G736+E736</f>
        <v>3554368.8142847968</v>
      </c>
      <c r="I736" s="555">
        <f>+J705*G736+E736</f>
        <v>3554368.8142847968</v>
      </c>
      <c r="J736" s="552">
        <f t="shared" si="69"/>
        <v>0</v>
      </c>
      <c r="K736" s="552"/>
      <c r="L736" s="572"/>
      <c r="M736" s="552">
        <f t="shared" si="63"/>
        <v>0</v>
      </c>
      <c r="N736" s="572"/>
      <c r="O736" s="552">
        <f t="shared" si="64"/>
        <v>0</v>
      </c>
      <c r="P736" s="552">
        <f t="shared" si="65"/>
        <v>0</v>
      </c>
    </row>
    <row r="737" spans="3:16">
      <c r="C737" s="548">
        <f>IF(D703="","-",+C736+1)</f>
        <v>2044</v>
      </c>
      <c r="D737" s="506">
        <f t="shared" si="66"/>
        <v>15619001.549999982</v>
      </c>
      <c r="E737" s="549">
        <f t="shared" si="68"/>
        <v>1735444.6166666665</v>
      </c>
      <c r="F737" s="549">
        <f t="shared" si="62"/>
        <v>13883556.933333315</v>
      </c>
      <c r="G737" s="506">
        <f t="shared" si="67"/>
        <v>14751279.241666649</v>
      </c>
      <c r="H737" s="554">
        <f>+J704*G737+E737</f>
        <v>3362903.1092723617</v>
      </c>
      <c r="I737" s="555">
        <f>+J705*G737+E737</f>
        <v>3362903.1092723617</v>
      </c>
      <c r="J737" s="552">
        <f t="shared" si="69"/>
        <v>0</v>
      </c>
      <c r="K737" s="552"/>
      <c r="L737" s="572"/>
      <c r="M737" s="552">
        <f t="shared" si="63"/>
        <v>0</v>
      </c>
      <c r="N737" s="572"/>
      <c r="O737" s="552">
        <f t="shared" si="64"/>
        <v>0</v>
      </c>
      <c r="P737" s="552">
        <f t="shared" si="65"/>
        <v>0</v>
      </c>
    </row>
    <row r="738" spans="3:16">
      <c r="C738" s="548">
        <f>IF(D703="","-",+C737+1)</f>
        <v>2045</v>
      </c>
      <c r="D738" s="506">
        <f t="shared" si="66"/>
        <v>13883556.933333315</v>
      </c>
      <c r="E738" s="549">
        <f t="shared" si="68"/>
        <v>1735444.6166666665</v>
      </c>
      <c r="F738" s="549">
        <f t="shared" si="62"/>
        <v>12148112.316666648</v>
      </c>
      <c r="G738" s="506">
        <f t="shared" si="67"/>
        <v>13015834.624999981</v>
      </c>
      <c r="H738" s="554">
        <f>+J704*G738+E738</f>
        <v>3171437.4042599266</v>
      </c>
      <c r="I738" s="555">
        <f>+J705*G738+E738</f>
        <v>3171437.4042599266</v>
      </c>
      <c r="J738" s="552">
        <f t="shared" si="69"/>
        <v>0</v>
      </c>
      <c r="K738" s="552"/>
      <c r="L738" s="572"/>
      <c r="M738" s="552">
        <f t="shared" si="63"/>
        <v>0</v>
      </c>
      <c r="N738" s="572"/>
      <c r="O738" s="552">
        <f t="shared" si="64"/>
        <v>0</v>
      </c>
      <c r="P738" s="552">
        <f t="shared" si="65"/>
        <v>0</v>
      </c>
    </row>
    <row r="739" spans="3:16">
      <c r="C739" s="548">
        <f>IF(D703="","-",+C738+1)</f>
        <v>2046</v>
      </c>
      <c r="D739" s="506">
        <f t="shared" si="66"/>
        <v>12148112.316666648</v>
      </c>
      <c r="E739" s="549">
        <f t="shared" si="68"/>
        <v>1735444.6166666665</v>
      </c>
      <c r="F739" s="549">
        <f t="shared" si="62"/>
        <v>10412667.699999981</v>
      </c>
      <c r="G739" s="506">
        <f t="shared" si="67"/>
        <v>11280390.008333314</v>
      </c>
      <c r="H739" s="554">
        <f>+J704*G739+E739</f>
        <v>2979971.6992474915</v>
      </c>
      <c r="I739" s="555">
        <f>+J705*G739+E739</f>
        <v>2979971.6992474915</v>
      </c>
      <c r="J739" s="552">
        <f t="shared" si="69"/>
        <v>0</v>
      </c>
      <c r="K739" s="552"/>
      <c r="L739" s="572"/>
      <c r="M739" s="552">
        <f t="shared" si="63"/>
        <v>0</v>
      </c>
      <c r="N739" s="572"/>
      <c r="O739" s="552">
        <f t="shared" si="64"/>
        <v>0</v>
      </c>
      <c r="P739" s="552">
        <f t="shared" si="65"/>
        <v>0</v>
      </c>
    </row>
    <row r="740" spans="3:16">
      <c r="C740" s="548">
        <f>IF(D703="","-",+C739+1)</f>
        <v>2047</v>
      </c>
      <c r="D740" s="506">
        <f t="shared" si="66"/>
        <v>10412667.699999981</v>
      </c>
      <c r="E740" s="549">
        <f t="shared" si="68"/>
        <v>1735444.6166666665</v>
      </c>
      <c r="F740" s="549">
        <f t="shared" si="62"/>
        <v>8677223.0833333135</v>
      </c>
      <c r="G740" s="506">
        <f t="shared" si="67"/>
        <v>9544945.391666647</v>
      </c>
      <c r="H740" s="554">
        <f>+J704*G740+E740</f>
        <v>2788505.9942350565</v>
      </c>
      <c r="I740" s="555">
        <f>+J705*G740+E740</f>
        <v>2788505.9942350565</v>
      </c>
      <c r="J740" s="552">
        <f t="shared" si="69"/>
        <v>0</v>
      </c>
      <c r="K740" s="552"/>
      <c r="L740" s="572"/>
      <c r="M740" s="552">
        <f t="shared" si="63"/>
        <v>0</v>
      </c>
      <c r="N740" s="572"/>
      <c r="O740" s="552">
        <f t="shared" si="64"/>
        <v>0</v>
      </c>
      <c r="P740" s="552">
        <f t="shared" si="65"/>
        <v>0</v>
      </c>
    </row>
    <row r="741" spans="3:16">
      <c r="C741" s="548">
        <f>IF(D703="","-",+C740+1)</f>
        <v>2048</v>
      </c>
      <c r="D741" s="506">
        <f t="shared" si="66"/>
        <v>8677223.0833333135</v>
      </c>
      <c r="E741" s="549">
        <f t="shared" si="68"/>
        <v>1735444.6166666665</v>
      </c>
      <c r="F741" s="549">
        <f t="shared" si="62"/>
        <v>6941778.4666666472</v>
      </c>
      <c r="G741" s="506">
        <f t="shared" si="67"/>
        <v>7809500.7749999799</v>
      </c>
      <c r="H741" s="554">
        <f>+J704*G741+E741</f>
        <v>2597040.2892226214</v>
      </c>
      <c r="I741" s="555">
        <f>+J705*G741+E741</f>
        <v>2597040.2892226214</v>
      </c>
      <c r="J741" s="552">
        <f t="shared" si="69"/>
        <v>0</v>
      </c>
      <c r="K741" s="552"/>
      <c r="L741" s="572"/>
      <c r="M741" s="552">
        <f t="shared" si="63"/>
        <v>0</v>
      </c>
      <c r="N741" s="572"/>
      <c r="O741" s="552">
        <f t="shared" si="64"/>
        <v>0</v>
      </c>
      <c r="P741" s="552">
        <f t="shared" si="65"/>
        <v>0</v>
      </c>
    </row>
    <row r="742" spans="3:16">
      <c r="C742" s="548">
        <f>IF(D703="","-",+C741+1)</f>
        <v>2049</v>
      </c>
      <c r="D742" s="506">
        <f t="shared" si="66"/>
        <v>6941778.4666666472</v>
      </c>
      <c r="E742" s="549">
        <f t="shared" si="68"/>
        <v>1735444.6166666665</v>
      </c>
      <c r="F742" s="549">
        <f t="shared" si="62"/>
        <v>5206333.849999981</v>
      </c>
      <c r="G742" s="506">
        <f t="shared" si="67"/>
        <v>6074056.1583333146</v>
      </c>
      <c r="H742" s="554">
        <f>+J704*G742+E742</f>
        <v>2405574.5842101867</v>
      </c>
      <c r="I742" s="555">
        <f>+J705*G742+E742</f>
        <v>2405574.5842101867</v>
      </c>
      <c r="J742" s="552">
        <f t="shared" si="69"/>
        <v>0</v>
      </c>
      <c r="K742" s="552"/>
      <c r="L742" s="572"/>
      <c r="M742" s="552">
        <f t="shared" si="63"/>
        <v>0</v>
      </c>
      <c r="N742" s="572"/>
      <c r="O742" s="552">
        <f t="shared" si="64"/>
        <v>0</v>
      </c>
      <c r="P742" s="552">
        <f t="shared" si="65"/>
        <v>0</v>
      </c>
    </row>
    <row r="743" spans="3:16">
      <c r="C743" s="548">
        <f>IF(D703="","-",+C742+1)</f>
        <v>2050</v>
      </c>
      <c r="D743" s="506">
        <f t="shared" si="66"/>
        <v>5206333.849999981</v>
      </c>
      <c r="E743" s="549">
        <f t="shared" si="68"/>
        <v>1735444.6166666665</v>
      </c>
      <c r="F743" s="549">
        <f t="shared" si="62"/>
        <v>3470889.2333333148</v>
      </c>
      <c r="G743" s="506">
        <f t="shared" si="67"/>
        <v>4338611.5416666474</v>
      </c>
      <c r="H743" s="554">
        <f>+J704*G743+E743</f>
        <v>2214108.8791977516</v>
      </c>
      <c r="I743" s="555">
        <f>+J705*G743+E743</f>
        <v>2214108.8791977516</v>
      </c>
      <c r="J743" s="552">
        <f t="shared" si="69"/>
        <v>0</v>
      </c>
      <c r="K743" s="552"/>
      <c r="L743" s="572"/>
      <c r="M743" s="552">
        <f t="shared" si="63"/>
        <v>0</v>
      </c>
      <c r="N743" s="572"/>
      <c r="O743" s="552">
        <f t="shared" si="64"/>
        <v>0</v>
      </c>
      <c r="P743" s="552">
        <f t="shared" si="65"/>
        <v>0</v>
      </c>
    </row>
    <row r="744" spans="3:16">
      <c r="C744" s="548">
        <f>IF(D703="","-",+C743+1)</f>
        <v>2051</v>
      </c>
      <c r="D744" s="506">
        <f t="shared" si="66"/>
        <v>3470889.2333333148</v>
      </c>
      <c r="E744" s="549">
        <f t="shared" si="68"/>
        <v>1735444.6166666665</v>
      </c>
      <c r="F744" s="549">
        <f t="shared" si="62"/>
        <v>1735444.6166666483</v>
      </c>
      <c r="G744" s="506">
        <f t="shared" si="67"/>
        <v>2603166.9249999817</v>
      </c>
      <c r="H744" s="554">
        <f>+J704*G744+E744</f>
        <v>2022643.174185317</v>
      </c>
      <c r="I744" s="555">
        <f>+J705*G744+E744</f>
        <v>2022643.174185317</v>
      </c>
      <c r="J744" s="552">
        <f t="shared" si="69"/>
        <v>0</v>
      </c>
      <c r="K744" s="552"/>
      <c r="L744" s="572"/>
      <c r="M744" s="552">
        <f t="shared" si="63"/>
        <v>0</v>
      </c>
      <c r="N744" s="572"/>
      <c r="O744" s="552">
        <f t="shared" si="64"/>
        <v>0</v>
      </c>
      <c r="P744" s="552">
        <f t="shared" si="65"/>
        <v>0</v>
      </c>
    </row>
    <row r="745" spans="3:16">
      <c r="C745" s="548">
        <f>IF(D703="","-",+C744+1)</f>
        <v>2052</v>
      </c>
      <c r="D745" s="506">
        <f t="shared" si="66"/>
        <v>1735444.6166666483</v>
      </c>
      <c r="E745" s="549">
        <f t="shared" si="68"/>
        <v>1735444.6166666483</v>
      </c>
      <c r="F745" s="549">
        <f t="shared" si="62"/>
        <v>0</v>
      </c>
      <c r="G745" s="506">
        <f t="shared" si="67"/>
        <v>867722.30833332415</v>
      </c>
      <c r="H745" s="554">
        <f>+J704*G745+E745</f>
        <v>1831177.4691728647</v>
      </c>
      <c r="I745" s="555">
        <f>+J705*G745+E745</f>
        <v>1831177.4691728647</v>
      </c>
      <c r="J745" s="552">
        <f t="shared" si="69"/>
        <v>0</v>
      </c>
      <c r="K745" s="552"/>
      <c r="L745" s="572"/>
      <c r="M745" s="552">
        <f t="shared" si="63"/>
        <v>0</v>
      </c>
      <c r="N745" s="572"/>
      <c r="O745" s="552">
        <f t="shared" si="64"/>
        <v>0</v>
      </c>
      <c r="P745" s="552">
        <f t="shared" si="65"/>
        <v>0</v>
      </c>
    </row>
    <row r="746" spans="3:16">
      <c r="C746" s="548">
        <f>IF(D703="","-",+C745+1)</f>
        <v>2053</v>
      </c>
      <c r="D746" s="506">
        <f t="shared" si="66"/>
        <v>0</v>
      </c>
      <c r="E746" s="549">
        <f t="shared" si="68"/>
        <v>0</v>
      </c>
      <c r="F746" s="549">
        <f t="shared" si="62"/>
        <v>0</v>
      </c>
      <c r="G746" s="506">
        <f t="shared" si="67"/>
        <v>0</v>
      </c>
      <c r="H746" s="554">
        <f>+J704*G746+E746</f>
        <v>0</v>
      </c>
      <c r="I746" s="555">
        <f>+J705*G746+E746</f>
        <v>0</v>
      </c>
      <c r="J746" s="552">
        <f t="shared" si="69"/>
        <v>0</v>
      </c>
      <c r="K746" s="552"/>
      <c r="L746" s="572"/>
      <c r="M746" s="552">
        <f t="shared" si="63"/>
        <v>0</v>
      </c>
      <c r="N746" s="572"/>
      <c r="O746" s="552">
        <f t="shared" si="64"/>
        <v>0</v>
      </c>
      <c r="P746" s="552">
        <f t="shared" si="65"/>
        <v>0</v>
      </c>
    </row>
    <row r="747" spans="3:16">
      <c r="C747" s="548">
        <f>IF(D703="","-",+C746+1)</f>
        <v>2054</v>
      </c>
      <c r="D747" s="506">
        <f t="shared" si="66"/>
        <v>0</v>
      </c>
      <c r="E747" s="549">
        <f t="shared" si="68"/>
        <v>0</v>
      </c>
      <c r="F747" s="549">
        <f t="shared" si="62"/>
        <v>0</v>
      </c>
      <c r="G747" s="506">
        <f t="shared" si="67"/>
        <v>0</v>
      </c>
      <c r="H747" s="554">
        <f>+J704*G747+E747</f>
        <v>0</v>
      </c>
      <c r="I747" s="555">
        <f>+J705*G747+E747</f>
        <v>0</v>
      </c>
      <c r="J747" s="552">
        <f t="shared" si="69"/>
        <v>0</v>
      </c>
      <c r="K747" s="552"/>
      <c r="L747" s="572"/>
      <c r="M747" s="552">
        <f t="shared" si="63"/>
        <v>0</v>
      </c>
      <c r="N747" s="572"/>
      <c r="O747" s="552">
        <f t="shared" si="64"/>
        <v>0</v>
      </c>
      <c r="P747" s="552">
        <f t="shared" si="65"/>
        <v>0</v>
      </c>
    </row>
    <row r="748" spans="3:16">
      <c r="C748" s="548">
        <f>IF(D703="","-",+C747+1)</f>
        <v>2055</v>
      </c>
      <c r="D748" s="506">
        <f t="shared" si="66"/>
        <v>0</v>
      </c>
      <c r="E748" s="549">
        <f t="shared" si="68"/>
        <v>0</v>
      </c>
      <c r="F748" s="549">
        <f t="shared" si="62"/>
        <v>0</v>
      </c>
      <c r="G748" s="506">
        <f t="shared" si="67"/>
        <v>0</v>
      </c>
      <c r="H748" s="554">
        <f>+J704*G748+E748</f>
        <v>0</v>
      </c>
      <c r="I748" s="555">
        <f>+J705*G748+E748</f>
        <v>0</v>
      </c>
      <c r="J748" s="552">
        <f t="shared" si="69"/>
        <v>0</v>
      </c>
      <c r="K748" s="552"/>
      <c r="L748" s="572"/>
      <c r="M748" s="552">
        <f t="shared" si="63"/>
        <v>0</v>
      </c>
      <c r="N748" s="572"/>
      <c r="O748" s="552">
        <f t="shared" si="64"/>
        <v>0</v>
      </c>
      <c r="P748" s="552">
        <f t="shared" si="65"/>
        <v>0</v>
      </c>
    </row>
    <row r="749" spans="3:16">
      <c r="C749" s="548">
        <f>IF(D703="","-",+C748+1)</f>
        <v>2056</v>
      </c>
      <c r="D749" s="506">
        <f t="shared" si="66"/>
        <v>0</v>
      </c>
      <c r="E749" s="549">
        <f t="shared" si="68"/>
        <v>0</v>
      </c>
      <c r="F749" s="549">
        <f t="shared" si="62"/>
        <v>0</v>
      </c>
      <c r="G749" s="506">
        <f t="shared" si="67"/>
        <v>0</v>
      </c>
      <c r="H749" s="554">
        <f>+J704*G749+E749</f>
        <v>0</v>
      </c>
      <c r="I749" s="555">
        <f>+J705*G749+E749</f>
        <v>0</v>
      </c>
      <c r="J749" s="552">
        <f t="shared" si="69"/>
        <v>0</v>
      </c>
      <c r="K749" s="552"/>
      <c r="L749" s="572"/>
      <c r="M749" s="552">
        <f t="shared" si="63"/>
        <v>0</v>
      </c>
      <c r="N749" s="572"/>
      <c r="O749" s="552">
        <f t="shared" si="64"/>
        <v>0</v>
      </c>
      <c r="P749" s="552">
        <f t="shared" si="65"/>
        <v>0</v>
      </c>
    </row>
    <row r="750" spans="3:16">
      <c r="C750" s="548">
        <f>IF(D703="","-",+C749+1)</f>
        <v>2057</v>
      </c>
      <c r="D750" s="506">
        <f t="shared" si="66"/>
        <v>0</v>
      </c>
      <c r="E750" s="549">
        <f t="shared" si="68"/>
        <v>0</v>
      </c>
      <c r="F750" s="549">
        <f t="shared" si="62"/>
        <v>0</v>
      </c>
      <c r="G750" s="506">
        <f t="shared" si="67"/>
        <v>0</v>
      </c>
      <c r="H750" s="554">
        <f>+J704*G750+E750</f>
        <v>0</v>
      </c>
      <c r="I750" s="555">
        <f>+J705*G750+E750</f>
        <v>0</v>
      </c>
      <c r="J750" s="552">
        <f t="shared" si="69"/>
        <v>0</v>
      </c>
      <c r="K750" s="552"/>
      <c r="L750" s="572"/>
      <c r="M750" s="552">
        <f t="shared" si="63"/>
        <v>0</v>
      </c>
      <c r="N750" s="572"/>
      <c r="O750" s="552">
        <f t="shared" si="64"/>
        <v>0</v>
      </c>
      <c r="P750" s="552">
        <f t="shared" si="65"/>
        <v>0</v>
      </c>
    </row>
    <row r="751" spans="3:16">
      <c r="C751" s="548">
        <f>IF(D703="","-",+C750+1)</f>
        <v>2058</v>
      </c>
      <c r="D751" s="506">
        <f t="shared" si="66"/>
        <v>0</v>
      </c>
      <c r="E751" s="549">
        <f t="shared" si="68"/>
        <v>0</v>
      </c>
      <c r="F751" s="549">
        <f t="shared" si="62"/>
        <v>0</v>
      </c>
      <c r="G751" s="506">
        <f t="shared" si="67"/>
        <v>0</v>
      </c>
      <c r="H751" s="554">
        <f>+J704*G751+E751</f>
        <v>0</v>
      </c>
      <c r="I751" s="555">
        <f>+J705*G751+E751</f>
        <v>0</v>
      </c>
      <c r="J751" s="552">
        <f t="shared" si="69"/>
        <v>0</v>
      </c>
      <c r="K751" s="552"/>
      <c r="L751" s="572"/>
      <c r="M751" s="552">
        <f t="shared" si="63"/>
        <v>0</v>
      </c>
      <c r="N751" s="572"/>
      <c r="O751" s="552">
        <f t="shared" si="64"/>
        <v>0</v>
      </c>
      <c r="P751" s="552">
        <f t="shared" si="65"/>
        <v>0</v>
      </c>
    </row>
    <row r="752" spans="3:16">
      <c r="C752" s="548">
        <f>IF(D703="","-",+C751+1)</f>
        <v>2059</v>
      </c>
      <c r="D752" s="506">
        <f t="shared" si="66"/>
        <v>0</v>
      </c>
      <c r="E752" s="549">
        <f t="shared" si="68"/>
        <v>0</v>
      </c>
      <c r="F752" s="549">
        <f t="shared" si="62"/>
        <v>0</v>
      </c>
      <c r="G752" s="506">
        <f t="shared" si="67"/>
        <v>0</v>
      </c>
      <c r="H752" s="554">
        <f>+J704*G752+E752</f>
        <v>0</v>
      </c>
      <c r="I752" s="555">
        <f>+J705*G752+E752</f>
        <v>0</v>
      </c>
      <c r="J752" s="552">
        <f t="shared" si="69"/>
        <v>0</v>
      </c>
      <c r="K752" s="552"/>
      <c r="L752" s="572"/>
      <c r="M752" s="552">
        <f t="shared" si="63"/>
        <v>0</v>
      </c>
      <c r="N752" s="572"/>
      <c r="O752" s="552">
        <f t="shared" si="64"/>
        <v>0</v>
      </c>
      <c r="P752" s="552">
        <f t="shared" si="65"/>
        <v>0</v>
      </c>
    </row>
    <row r="753" spans="3:16">
      <c r="C753" s="548">
        <f>IF(D703="","-",+C752+1)</f>
        <v>2060</v>
      </c>
      <c r="D753" s="506">
        <f t="shared" si="66"/>
        <v>0</v>
      </c>
      <c r="E753" s="549">
        <f t="shared" si="68"/>
        <v>0</v>
      </c>
      <c r="F753" s="549">
        <f t="shared" si="62"/>
        <v>0</v>
      </c>
      <c r="G753" s="506">
        <f t="shared" si="67"/>
        <v>0</v>
      </c>
      <c r="H753" s="554">
        <f>+J704*G753+E753</f>
        <v>0</v>
      </c>
      <c r="I753" s="555">
        <f>+J705*G753+E753</f>
        <v>0</v>
      </c>
      <c r="J753" s="552">
        <f t="shared" si="69"/>
        <v>0</v>
      </c>
      <c r="K753" s="552"/>
      <c r="L753" s="572"/>
      <c r="M753" s="552">
        <f t="shared" si="63"/>
        <v>0</v>
      </c>
      <c r="N753" s="572"/>
      <c r="O753" s="552">
        <f t="shared" si="64"/>
        <v>0</v>
      </c>
      <c r="P753" s="552">
        <f t="shared" si="65"/>
        <v>0</v>
      </c>
    </row>
    <row r="754" spans="3:16">
      <c r="C754" s="548">
        <f>IF(D703="","-",+C753+1)</f>
        <v>2061</v>
      </c>
      <c r="D754" s="506">
        <f t="shared" si="66"/>
        <v>0</v>
      </c>
      <c r="E754" s="549">
        <f t="shared" si="68"/>
        <v>0</v>
      </c>
      <c r="F754" s="549">
        <f t="shared" si="62"/>
        <v>0</v>
      </c>
      <c r="G754" s="506">
        <f t="shared" si="67"/>
        <v>0</v>
      </c>
      <c r="H754" s="554">
        <f>+J704*G754+E754</f>
        <v>0</v>
      </c>
      <c r="I754" s="555">
        <f>+J705*G754+E754</f>
        <v>0</v>
      </c>
      <c r="J754" s="552">
        <f t="shared" si="69"/>
        <v>0</v>
      </c>
      <c r="K754" s="552"/>
      <c r="L754" s="572"/>
      <c r="M754" s="552">
        <f t="shared" si="63"/>
        <v>0</v>
      </c>
      <c r="N754" s="572"/>
      <c r="O754" s="552">
        <f t="shared" si="64"/>
        <v>0</v>
      </c>
      <c r="P754" s="552">
        <f t="shared" si="65"/>
        <v>0</v>
      </c>
    </row>
    <row r="755" spans="3:16">
      <c r="C755" s="548">
        <f>IF(D703="","-",+C754+1)</f>
        <v>2062</v>
      </c>
      <c r="D755" s="506">
        <f t="shared" si="66"/>
        <v>0</v>
      </c>
      <c r="E755" s="549">
        <f t="shared" si="68"/>
        <v>0</v>
      </c>
      <c r="F755" s="549">
        <f t="shared" si="62"/>
        <v>0</v>
      </c>
      <c r="G755" s="506">
        <f t="shared" si="67"/>
        <v>0</v>
      </c>
      <c r="H755" s="554">
        <f>+J704*G755+E755</f>
        <v>0</v>
      </c>
      <c r="I755" s="555">
        <f>+J705*G755+E755</f>
        <v>0</v>
      </c>
      <c r="J755" s="552">
        <f t="shared" si="69"/>
        <v>0</v>
      </c>
      <c r="K755" s="552"/>
      <c r="L755" s="572"/>
      <c r="M755" s="552">
        <f t="shared" si="63"/>
        <v>0</v>
      </c>
      <c r="N755" s="572"/>
      <c r="O755" s="552">
        <f t="shared" si="64"/>
        <v>0</v>
      </c>
      <c r="P755" s="552">
        <f t="shared" si="65"/>
        <v>0</v>
      </c>
    </row>
    <row r="756" spans="3:16">
      <c r="C756" s="548">
        <f>IF(D703="","-",+C755+1)</f>
        <v>2063</v>
      </c>
      <c r="D756" s="506">
        <f t="shared" si="66"/>
        <v>0</v>
      </c>
      <c r="E756" s="549">
        <f t="shared" si="68"/>
        <v>0</v>
      </c>
      <c r="F756" s="549">
        <f t="shared" si="62"/>
        <v>0</v>
      </c>
      <c r="G756" s="506">
        <f t="shared" si="67"/>
        <v>0</v>
      </c>
      <c r="H756" s="554">
        <f>+J704*G756+E756</f>
        <v>0</v>
      </c>
      <c r="I756" s="555">
        <f>+J705*G756+E756</f>
        <v>0</v>
      </c>
      <c r="J756" s="552">
        <f t="shared" si="69"/>
        <v>0</v>
      </c>
      <c r="K756" s="552"/>
      <c r="L756" s="572"/>
      <c r="M756" s="552">
        <f t="shared" si="63"/>
        <v>0</v>
      </c>
      <c r="N756" s="572"/>
      <c r="O756" s="552">
        <f t="shared" si="64"/>
        <v>0</v>
      </c>
      <c r="P756" s="552">
        <f t="shared" si="65"/>
        <v>0</v>
      </c>
    </row>
    <row r="757" spans="3:16">
      <c r="C757" s="548">
        <f>IF(D703="","-",+C756+1)</f>
        <v>2064</v>
      </c>
      <c r="D757" s="506">
        <f t="shared" si="66"/>
        <v>0</v>
      </c>
      <c r="E757" s="549">
        <f t="shared" si="68"/>
        <v>0</v>
      </c>
      <c r="F757" s="549">
        <f t="shared" si="62"/>
        <v>0</v>
      </c>
      <c r="G757" s="506">
        <f t="shared" si="67"/>
        <v>0</v>
      </c>
      <c r="H757" s="554">
        <f>+J704*G757+E757</f>
        <v>0</v>
      </c>
      <c r="I757" s="555">
        <f>+J705*G757+E757</f>
        <v>0</v>
      </c>
      <c r="J757" s="552">
        <f t="shared" si="69"/>
        <v>0</v>
      </c>
      <c r="K757" s="552"/>
      <c r="L757" s="572"/>
      <c r="M757" s="552">
        <f t="shared" si="63"/>
        <v>0</v>
      </c>
      <c r="N757" s="572"/>
      <c r="O757" s="552">
        <f t="shared" si="64"/>
        <v>0</v>
      </c>
      <c r="P757" s="552">
        <f t="shared" si="65"/>
        <v>0</v>
      </c>
    </row>
    <row r="758" spans="3:16">
      <c r="C758" s="548">
        <f>IF(D703="","-",+C757+1)</f>
        <v>2065</v>
      </c>
      <c r="D758" s="506">
        <f t="shared" si="66"/>
        <v>0</v>
      </c>
      <c r="E758" s="549">
        <f t="shared" si="68"/>
        <v>0</v>
      </c>
      <c r="F758" s="549">
        <f t="shared" si="62"/>
        <v>0</v>
      </c>
      <c r="G758" s="506">
        <f t="shared" si="67"/>
        <v>0</v>
      </c>
      <c r="H758" s="554">
        <f>+J704*G758+E758</f>
        <v>0</v>
      </c>
      <c r="I758" s="555">
        <f>+J705*G758+E758</f>
        <v>0</v>
      </c>
      <c r="J758" s="552">
        <f t="shared" si="69"/>
        <v>0</v>
      </c>
      <c r="K758" s="552"/>
      <c r="L758" s="572"/>
      <c r="M758" s="552">
        <f t="shared" si="63"/>
        <v>0</v>
      </c>
      <c r="N758" s="572"/>
      <c r="O758" s="552">
        <f t="shared" si="64"/>
        <v>0</v>
      </c>
      <c r="P758" s="552">
        <f t="shared" si="65"/>
        <v>0</v>
      </c>
    </row>
    <row r="759" spans="3:16">
      <c r="C759" s="548">
        <f>IF(D703="","-",+C758+1)</f>
        <v>2066</v>
      </c>
      <c r="D759" s="506">
        <f t="shared" si="66"/>
        <v>0</v>
      </c>
      <c r="E759" s="549">
        <f t="shared" si="68"/>
        <v>0</v>
      </c>
      <c r="F759" s="549">
        <f t="shared" si="62"/>
        <v>0</v>
      </c>
      <c r="G759" s="506">
        <f t="shared" si="67"/>
        <v>0</v>
      </c>
      <c r="H759" s="554">
        <f>+J704*G759+E759</f>
        <v>0</v>
      </c>
      <c r="I759" s="555">
        <f>+J705*G759+E759</f>
        <v>0</v>
      </c>
      <c r="J759" s="552">
        <f t="shared" si="69"/>
        <v>0</v>
      </c>
      <c r="K759" s="552"/>
      <c r="L759" s="572"/>
      <c r="M759" s="552">
        <f t="shared" si="63"/>
        <v>0</v>
      </c>
      <c r="N759" s="572"/>
      <c r="O759" s="552">
        <f t="shared" si="64"/>
        <v>0</v>
      </c>
      <c r="P759" s="552">
        <f t="shared" si="65"/>
        <v>0</v>
      </c>
    </row>
    <row r="760" spans="3:16">
      <c r="C760" s="548">
        <f>IF(D703="","-",+C759+1)</f>
        <v>2067</v>
      </c>
      <c r="D760" s="506">
        <f t="shared" si="66"/>
        <v>0</v>
      </c>
      <c r="E760" s="549">
        <f t="shared" si="68"/>
        <v>0</v>
      </c>
      <c r="F760" s="549">
        <f t="shared" si="62"/>
        <v>0</v>
      </c>
      <c r="G760" s="506">
        <f t="shared" si="67"/>
        <v>0</v>
      </c>
      <c r="H760" s="554">
        <f>+J704*G760+E760</f>
        <v>0</v>
      </c>
      <c r="I760" s="555">
        <f>+J705*G760+E760</f>
        <v>0</v>
      </c>
      <c r="J760" s="552">
        <f t="shared" si="69"/>
        <v>0</v>
      </c>
      <c r="K760" s="552"/>
      <c r="L760" s="572"/>
      <c r="M760" s="552">
        <f t="shared" si="63"/>
        <v>0</v>
      </c>
      <c r="N760" s="572"/>
      <c r="O760" s="552">
        <f t="shared" si="64"/>
        <v>0</v>
      </c>
      <c r="P760" s="552">
        <f t="shared" si="65"/>
        <v>0</v>
      </c>
    </row>
    <row r="761" spans="3:16">
      <c r="C761" s="548">
        <f>IF(D703="","-",+C760+1)</f>
        <v>2068</v>
      </c>
      <c r="D761" s="506">
        <f t="shared" si="66"/>
        <v>0</v>
      </c>
      <c r="E761" s="549">
        <f t="shared" si="68"/>
        <v>0</v>
      </c>
      <c r="F761" s="549">
        <f t="shared" si="62"/>
        <v>0</v>
      </c>
      <c r="G761" s="506">
        <f t="shared" si="67"/>
        <v>0</v>
      </c>
      <c r="H761" s="554">
        <f>+J704*G761+E761</f>
        <v>0</v>
      </c>
      <c r="I761" s="555">
        <f>+J705*G761+E761</f>
        <v>0</v>
      </c>
      <c r="J761" s="552">
        <f t="shared" si="69"/>
        <v>0</v>
      </c>
      <c r="K761" s="552"/>
      <c r="L761" s="572"/>
      <c r="M761" s="552">
        <f t="shared" si="63"/>
        <v>0</v>
      </c>
      <c r="N761" s="572"/>
      <c r="O761" s="552">
        <f t="shared" si="64"/>
        <v>0</v>
      </c>
      <c r="P761" s="552">
        <f t="shared" si="65"/>
        <v>0</v>
      </c>
    </row>
    <row r="762" spans="3:16">
      <c r="C762" s="548">
        <f>IF(D703="","-",+C761+1)</f>
        <v>2069</v>
      </c>
      <c r="D762" s="506">
        <f t="shared" si="66"/>
        <v>0</v>
      </c>
      <c r="E762" s="549">
        <f t="shared" si="68"/>
        <v>0</v>
      </c>
      <c r="F762" s="549">
        <f t="shared" si="62"/>
        <v>0</v>
      </c>
      <c r="G762" s="506">
        <f t="shared" si="67"/>
        <v>0</v>
      </c>
      <c r="H762" s="554">
        <f>+J704*G762+E762</f>
        <v>0</v>
      </c>
      <c r="I762" s="555">
        <f>+J705*G762+E762</f>
        <v>0</v>
      </c>
      <c r="J762" s="552">
        <f t="shared" si="69"/>
        <v>0</v>
      </c>
      <c r="K762" s="552"/>
      <c r="L762" s="572"/>
      <c r="M762" s="552">
        <f t="shared" si="63"/>
        <v>0</v>
      </c>
      <c r="N762" s="572"/>
      <c r="O762" s="552">
        <f t="shared" si="64"/>
        <v>0</v>
      </c>
      <c r="P762" s="552">
        <f t="shared" si="65"/>
        <v>0</v>
      </c>
    </row>
    <row r="763" spans="3:16">
      <c r="C763" s="548">
        <f>IF(D703="","-",+C762+1)</f>
        <v>2070</v>
      </c>
      <c r="D763" s="506">
        <f t="shared" ref="D763:D768" si="70">F762</f>
        <v>0</v>
      </c>
      <c r="E763" s="549">
        <f t="shared" si="68"/>
        <v>0</v>
      </c>
      <c r="F763" s="549">
        <f t="shared" si="62"/>
        <v>0</v>
      </c>
      <c r="G763" s="506">
        <f t="shared" si="67"/>
        <v>0</v>
      </c>
      <c r="H763" s="554">
        <f>+J704*G763+E763</f>
        <v>0</v>
      </c>
      <c r="I763" s="555">
        <f>+J705*G763+E763</f>
        <v>0</v>
      </c>
      <c r="J763" s="552">
        <f t="shared" si="69"/>
        <v>0</v>
      </c>
      <c r="K763" s="552"/>
      <c r="L763" s="572"/>
      <c r="M763" s="552">
        <f t="shared" si="63"/>
        <v>0</v>
      </c>
      <c r="N763" s="572"/>
      <c r="O763" s="552">
        <f t="shared" si="64"/>
        <v>0</v>
      </c>
      <c r="P763" s="552">
        <f t="shared" si="65"/>
        <v>0</v>
      </c>
    </row>
    <row r="764" spans="3:16">
      <c r="C764" s="548">
        <f>IF(D703="","-",+C763+1)</f>
        <v>2071</v>
      </c>
      <c r="D764" s="506">
        <f t="shared" si="70"/>
        <v>0</v>
      </c>
      <c r="E764" s="549">
        <f t="shared" si="68"/>
        <v>0</v>
      </c>
      <c r="F764" s="549">
        <f t="shared" si="62"/>
        <v>0</v>
      </c>
      <c r="G764" s="506">
        <f t="shared" si="67"/>
        <v>0</v>
      </c>
      <c r="H764" s="554">
        <f>+J704*G764+E764</f>
        <v>0</v>
      </c>
      <c r="I764" s="555">
        <f>+J705*G764+E764</f>
        <v>0</v>
      </c>
      <c r="J764" s="552">
        <f t="shared" si="69"/>
        <v>0</v>
      </c>
      <c r="K764" s="552"/>
      <c r="L764" s="572"/>
      <c r="M764" s="552">
        <f t="shared" si="63"/>
        <v>0</v>
      </c>
      <c r="N764" s="572"/>
      <c r="O764" s="552">
        <f t="shared" si="64"/>
        <v>0</v>
      </c>
      <c r="P764" s="552">
        <f t="shared" si="65"/>
        <v>0</v>
      </c>
    </row>
    <row r="765" spans="3:16">
      <c r="C765" s="548">
        <f>IF(D703="","-",+C764+1)</f>
        <v>2072</v>
      </c>
      <c r="D765" s="506">
        <f t="shared" si="70"/>
        <v>0</v>
      </c>
      <c r="E765" s="549">
        <f t="shared" si="68"/>
        <v>0</v>
      </c>
      <c r="F765" s="549">
        <f t="shared" si="62"/>
        <v>0</v>
      </c>
      <c r="G765" s="506">
        <f t="shared" si="67"/>
        <v>0</v>
      </c>
      <c r="H765" s="554">
        <f>+J704*G765+E765</f>
        <v>0</v>
      </c>
      <c r="I765" s="555">
        <f>+J705*G765+E765</f>
        <v>0</v>
      </c>
      <c r="J765" s="552">
        <f t="shared" si="69"/>
        <v>0</v>
      </c>
      <c r="K765" s="552"/>
      <c r="L765" s="572"/>
      <c r="M765" s="552">
        <f t="shared" si="63"/>
        <v>0</v>
      </c>
      <c r="N765" s="572"/>
      <c r="O765" s="552">
        <f t="shared" si="64"/>
        <v>0</v>
      </c>
      <c r="P765" s="552">
        <f t="shared" si="65"/>
        <v>0</v>
      </c>
    </row>
    <row r="766" spans="3:16">
      <c r="C766" s="548">
        <f>IF(D703="","-",+C765+1)</f>
        <v>2073</v>
      </c>
      <c r="D766" s="506">
        <f t="shared" si="70"/>
        <v>0</v>
      </c>
      <c r="E766" s="549">
        <f t="shared" si="68"/>
        <v>0</v>
      </c>
      <c r="F766" s="549">
        <f t="shared" si="62"/>
        <v>0</v>
      </c>
      <c r="G766" s="506">
        <f t="shared" si="67"/>
        <v>0</v>
      </c>
      <c r="H766" s="554">
        <f>+J704*G766+E766</f>
        <v>0</v>
      </c>
      <c r="I766" s="555">
        <f>+J705*G766+E766</f>
        <v>0</v>
      </c>
      <c r="J766" s="552">
        <f t="shared" si="69"/>
        <v>0</v>
      </c>
      <c r="K766" s="552"/>
      <c r="L766" s="572"/>
      <c r="M766" s="552">
        <f t="shared" si="63"/>
        <v>0</v>
      </c>
      <c r="N766" s="572"/>
      <c r="O766" s="552">
        <f t="shared" si="64"/>
        <v>0</v>
      </c>
      <c r="P766" s="552">
        <f t="shared" si="65"/>
        <v>0</v>
      </c>
    </row>
    <row r="767" spans="3:16">
      <c r="C767" s="548">
        <f>IF(D703="","-",+C766+1)</f>
        <v>2074</v>
      </c>
      <c r="D767" s="506">
        <f t="shared" si="70"/>
        <v>0</v>
      </c>
      <c r="E767" s="549">
        <f t="shared" si="68"/>
        <v>0</v>
      </c>
      <c r="F767" s="549">
        <f t="shared" si="62"/>
        <v>0</v>
      </c>
      <c r="G767" s="506">
        <f t="shared" si="67"/>
        <v>0</v>
      </c>
      <c r="H767" s="554">
        <f>+J704*G767+E767</f>
        <v>0</v>
      </c>
      <c r="I767" s="555">
        <f>+J705*G767+E767</f>
        <v>0</v>
      </c>
      <c r="J767" s="552">
        <f t="shared" si="69"/>
        <v>0</v>
      </c>
      <c r="K767" s="552"/>
      <c r="L767" s="572"/>
      <c r="M767" s="552">
        <f t="shared" si="63"/>
        <v>0</v>
      </c>
      <c r="N767" s="572"/>
      <c r="O767" s="552">
        <f t="shared" si="64"/>
        <v>0</v>
      </c>
      <c r="P767" s="552">
        <f t="shared" si="65"/>
        <v>0</v>
      </c>
    </row>
    <row r="768" spans="3:16" ht="13.5" thickBot="1">
      <c r="C768" s="558">
        <f>IF(D703="","-",+C767+1)</f>
        <v>2075</v>
      </c>
      <c r="D768" s="559">
        <f t="shared" si="70"/>
        <v>0</v>
      </c>
      <c r="E768" s="560">
        <f t="shared" si="68"/>
        <v>0</v>
      </c>
      <c r="F768" s="560">
        <f t="shared" si="62"/>
        <v>0</v>
      </c>
      <c r="G768" s="559">
        <f t="shared" si="67"/>
        <v>0</v>
      </c>
      <c r="H768" s="561">
        <f>+J704*G768+E768</f>
        <v>0</v>
      </c>
      <c r="I768" s="561">
        <f>+J705*G768+E768</f>
        <v>0</v>
      </c>
      <c r="J768" s="562">
        <f t="shared" si="69"/>
        <v>0</v>
      </c>
      <c r="K768" s="552"/>
      <c r="L768" s="573"/>
      <c r="M768" s="562">
        <f t="shared" si="63"/>
        <v>0</v>
      </c>
      <c r="N768" s="573"/>
      <c r="O768" s="562">
        <f t="shared" si="64"/>
        <v>0</v>
      </c>
      <c r="P768" s="562">
        <f t="shared" si="65"/>
        <v>0</v>
      </c>
    </row>
    <row r="769" spans="1:17">
      <c r="C769" s="506" t="s">
        <v>91</v>
      </c>
      <c r="D769" s="503"/>
      <c r="E769" s="503">
        <f>SUM(E709:E768)</f>
        <v>62476006.199999988</v>
      </c>
      <c r="F769" s="503"/>
      <c r="G769" s="503"/>
      <c r="H769" s="503">
        <f>SUM(H709:H768)</f>
        <v>193438548.42850539</v>
      </c>
      <c r="I769" s="503">
        <f>SUM(I709:I768)</f>
        <v>193438548.42850539</v>
      </c>
      <c r="J769" s="503">
        <f>SUM(J709:J768)</f>
        <v>0</v>
      </c>
      <c r="K769" s="503"/>
      <c r="L769" s="503"/>
      <c r="M769" s="503"/>
      <c r="N769" s="503"/>
      <c r="O769" s="503"/>
    </row>
    <row r="770" spans="1:17">
      <c r="D770" s="47"/>
      <c r="E770" s="3"/>
      <c r="F770" s="3"/>
      <c r="G770" s="3"/>
      <c r="H770" s="3"/>
      <c r="I770" s="490"/>
      <c r="J770" s="490"/>
      <c r="K770" s="503"/>
      <c r="L770" s="490"/>
      <c r="M770" s="490"/>
      <c r="N770" s="490"/>
      <c r="O770" s="490"/>
    </row>
    <row r="771" spans="1:17">
      <c r="C771" s="3" t="s">
        <v>13</v>
      </c>
      <c r="D771" s="47"/>
      <c r="E771" s="3"/>
      <c r="F771" s="3"/>
      <c r="G771" s="3"/>
      <c r="H771" s="3"/>
      <c r="I771" s="490"/>
      <c r="J771" s="490"/>
      <c r="K771" s="503"/>
      <c r="L771" s="490"/>
      <c r="M771" s="490"/>
      <c r="N771" s="490"/>
      <c r="O771" s="490"/>
    </row>
    <row r="772" spans="1:17">
      <c r="C772" s="3"/>
      <c r="D772" s="47"/>
      <c r="E772" s="3"/>
      <c r="F772" s="3"/>
      <c r="G772" s="3"/>
      <c r="H772" s="3"/>
      <c r="I772" s="490"/>
      <c r="J772" s="490"/>
      <c r="K772" s="503"/>
      <c r="L772" s="490"/>
      <c r="M772" s="490"/>
      <c r="N772" s="490"/>
      <c r="O772" s="490"/>
    </row>
    <row r="773" spans="1:17">
      <c r="C773" s="518" t="s">
        <v>14</v>
      </c>
      <c r="D773" s="506"/>
      <c r="E773" s="506"/>
      <c r="F773" s="506"/>
      <c r="G773" s="506"/>
      <c r="H773" s="503"/>
      <c r="I773" s="503"/>
      <c r="J773" s="564"/>
      <c r="K773" s="564"/>
      <c r="L773" s="564"/>
      <c r="M773" s="564"/>
      <c r="N773" s="564"/>
      <c r="O773" s="564"/>
    </row>
    <row r="774" spans="1:17">
      <c r="C774" s="507" t="s">
        <v>271</v>
      </c>
      <c r="D774" s="506"/>
      <c r="E774" s="506"/>
      <c r="F774" s="506"/>
      <c r="G774" s="506"/>
      <c r="H774" s="503"/>
      <c r="I774" s="503"/>
      <c r="J774" s="564"/>
      <c r="K774" s="564"/>
      <c r="L774" s="564"/>
      <c r="M774" s="564"/>
      <c r="N774" s="564"/>
      <c r="O774" s="564"/>
    </row>
    <row r="775" spans="1:17">
      <c r="C775" s="507" t="s">
        <v>92</v>
      </c>
      <c r="D775" s="506"/>
      <c r="E775" s="506"/>
      <c r="F775" s="506"/>
      <c r="G775" s="506"/>
      <c r="H775" s="503"/>
      <c r="I775" s="503"/>
      <c r="J775" s="564"/>
      <c r="K775" s="564"/>
      <c r="L775" s="564"/>
      <c r="M775" s="564"/>
      <c r="N775" s="564"/>
      <c r="O775" s="564"/>
    </row>
    <row r="776" spans="1:17">
      <c r="C776" s="507"/>
      <c r="D776" s="506"/>
      <c r="E776" s="506"/>
      <c r="F776" s="506"/>
      <c r="G776" s="506"/>
      <c r="H776" s="503"/>
      <c r="I776" s="503"/>
      <c r="J776" s="564"/>
      <c r="K776" s="564"/>
      <c r="L776" s="564"/>
      <c r="M776" s="564"/>
      <c r="N776" s="564"/>
      <c r="O776" s="564"/>
    </row>
    <row r="777" spans="1:17" ht="20.25">
      <c r="A777" s="447" t="str">
        <f>""&amp;A697&amp;" Worksheet K -  ATRR TRUE-UP Calculation for PJM Projects Charged to Benefiting Zones"</f>
        <v xml:space="preserve"> Worksheet K -  ATRR TRUE-UP Calculation for PJM Projects Charged to Benefiting Zones</v>
      </c>
      <c r="B777" s="3"/>
      <c r="C777" s="3"/>
      <c r="D777" s="47"/>
      <c r="E777" s="3"/>
      <c r="F777" s="489"/>
      <c r="G777" s="489"/>
      <c r="H777" s="3"/>
      <c r="I777" s="490"/>
      <c r="L777" s="398"/>
      <c r="M777" s="398"/>
      <c r="N777" s="398"/>
      <c r="O777" s="398" t="str">
        <f>"Page "&amp;SUM(Q$8:Q777)&amp;" of "</f>
        <v xml:space="preserve">Page 9 of </v>
      </c>
      <c r="P777" s="448">
        <f>COUNT(Q$8:Q$56657)</f>
        <v>10</v>
      </c>
      <c r="Q777">
        <v>1</v>
      </c>
    </row>
    <row r="778" spans="1:17">
      <c r="B778" s="3"/>
      <c r="C778" s="3"/>
      <c r="D778" s="47"/>
      <c r="E778" s="3"/>
      <c r="F778" s="3"/>
      <c r="G778" s="3"/>
      <c r="H778" s="3"/>
      <c r="I778" s="490"/>
      <c r="J778" s="3"/>
      <c r="K778" s="3"/>
    </row>
    <row r="779" spans="1:17" ht="18">
      <c r="B779" s="449" t="s">
        <v>472</v>
      </c>
      <c r="C779" s="122" t="s">
        <v>93</v>
      </c>
      <c r="D779" s="47"/>
      <c r="E779" s="3"/>
      <c r="F779" s="3"/>
      <c r="G779" s="3"/>
      <c r="H779" s="3"/>
      <c r="I779" s="490"/>
      <c r="J779" s="490"/>
      <c r="K779" s="503"/>
      <c r="L779" s="490"/>
      <c r="M779" s="490"/>
      <c r="N779" s="490"/>
      <c r="O779" s="490"/>
    </row>
    <row r="780" spans="1:17" ht="18.75">
      <c r="B780" s="449"/>
      <c r="C780" s="6"/>
      <c r="D780" s="47"/>
      <c r="E780" s="3"/>
      <c r="F780" s="3"/>
      <c r="G780" s="3"/>
      <c r="H780" s="3"/>
      <c r="I780" s="490"/>
      <c r="J780" s="490"/>
      <c r="K780" s="503"/>
      <c r="L780" s="490"/>
      <c r="M780" s="490"/>
      <c r="N780" s="490"/>
      <c r="O780" s="490"/>
    </row>
    <row r="781" spans="1:17" ht="18.75">
      <c r="B781" s="449"/>
      <c r="C781" s="6" t="s">
        <v>94</v>
      </c>
      <c r="D781" s="47"/>
      <c r="E781" s="3"/>
      <c r="F781" s="3"/>
      <c r="G781" s="3"/>
      <c r="H781" s="3"/>
      <c r="I781" s="490"/>
      <c r="J781" s="490"/>
      <c r="K781" s="503"/>
      <c r="L781" s="490"/>
      <c r="M781" s="490"/>
      <c r="N781" s="490"/>
      <c r="O781" s="490"/>
    </row>
    <row r="782" spans="1:17" ht="15.75" thickBot="1">
      <c r="C782" s="132"/>
      <c r="D782" s="47"/>
      <c r="E782" s="3"/>
      <c r="F782" s="3"/>
      <c r="G782" s="3"/>
      <c r="H782" s="3"/>
      <c r="I782" s="490"/>
      <c r="J782" s="490"/>
      <c r="K782" s="503"/>
      <c r="L782" s="490"/>
      <c r="M782" s="490"/>
      <c r="N782" s="490"/>
      <c r="O782" s="490"/>
    </row>
    <row r="783" spans="1:17" ht="15.75">
      <c r="C783" s="451" t="s">
        <v>95</v>
      </c>
      <c r="D783" s="47"/>
      <c r="E783" s="3"/>
      <c r="F783" s="3"/>
      <c r="G783" s="3"/>
      <c r="H783" s="566"/>
      <c r="I783" s="3" t="s">
        <v>74</v>
      </c>
      <c r="J783" s="3"/>
      <c r="K783" s="3"/>
      <c r="L783" s="593">
        <f>+J789</f>
        <v>2025</v>
      </c>
      <c r="M783" s="576" t="s">
        <v>52</v>
      </c>
      <c r="N783" s="576" t="s">
        <v>53</v>
      </c>
      <c r="O783" s="577" t="s">
        <v>55</v>
      </c>
    </row>
    <row r="784" spans="1:17" ht="15.75">
      <c r="C784" s="451"/>
      <c r="D784" s="47"/>
      <c r="E784" s="3"/>
      <c r="F784" s="3"/>
      <c r="H784" s="3"/>
      <c r="I784" s="513"/>
      <c r="J784" s="513"/>
      <c r="K784" s="514"/>
      <c r="L784" s="594" t="s">
        <v>243</v>
      </c>
      <c r="M784" s="595">
        <f>VLOOKUP(J789,C796:P855,10)</f>
        <v>3811248.0488271257</v>
      </c>
      <c r="N784" s="595">
        <f>VLOOKUP(J789,C796:P855,12)</f>
        <v>3811248.0488271257</v>
      </c>
      <c r="O784" s="596">
        <f>+N784-M784</f>
        <v>0</v>
      </c>
    </row>
    <row r="785" spans="1:16" ht="12.95" customHeight="1">
      <c r="A785" s="978"/>
      <c r="C785" s="518" t="s">
        <v>96</v>
      </c>
      <c r="D785" s="1210" t="s">
        <v>823</v>
      </c>
      <c r="E785" s="1210"/>
      <c r="F785" s="1210"/>
      <c r="G785" s="1210"/>
      <c r="H785" s="1210"/>
      <c r="I785" s="1210"/>
      <c r="J785" s="490"/>
      <c r="K785" s="503"/>
      <c r="L785" s="594" t="s">
        <v>244</v>
      </c>
      <c r="M785" s="597">
        <f>VLOOKUP(J789,C796:P855,6)</f>
        <v>3694756.1829166878</v>
      </c>
      <c r="N785" s="597">
        <f>VLOOKUP(J789,C796:P855,7)</f>
        <v>3694756.1829166878</v>
      </c>
      <c r="O785" s="598">
        <f>+N785-M785</f>
        <v>0</v>
      </c>
    </row>
    <row r="786" spans="1:16" ht="13.5" thickBot="1">
      <c r="C786" s="522"/>
      <c r="D786" s="1210"/>
      <c r="E786" s="1210"/>
      <c r="F786" s="1210"/>
      <c r="G786" s="1210"/>
      <c r="H786" s="1210"/>
      <c r="I786" s="1210"/>
      <c r="J786" s="490"/>
      <c r="K786" s="503"/>
      <c r="L786" s="533" t="s">
        <v>245</v>
      </c>
      <c r="M786" s="599">
        <f>+M785-M784</f>
        <v>-116491.86591043789</v>
      </c>
      <c r="N786" s="599">
        <f>+N785-N784</f>
        <v>-116491.86591043789</v>
      </c>
      <c r="O786" s="600">
        <f>+O785-O784</f>
        <v>0</v>
      </c>
    </row>
    <row r="787" spans="1:16" ht="13.5" thickBot="1">
      <c r="C787" s="522"/>
      <c r="D787" s="3"/>
      <c r="E787" s="524"/>
      <c r="F787" s="524"/>
      <c r="G787" s="524"/>
      <c r="H787" s="524"/>
      <c r="I787" s="524"/>
      <c r="J787" s="524"/>
      <c r="K787" s="524"/>
      <c r="L787" s="524"/>
      <c r="M787" s="524"/>
      <c r="N787" s="524"/>
      <c r="O787" s="524"/>
    </row>
    <row r="788" spans="1:16" ht="13.5" thickBot="1">
      <c r="C788" s="525" t="s">
        <v>97</v>
      </c>
      <c r="D788" s="526"/>
      <c r="E788" s="526"/>
      <c r="F788" s="526"/>
      <c r="G788" s="526"/>
      <c r="H788" s="526"/>
      <c r="I788" s="526"/>
      <c r="J788" s="526"/>
    </row>
    <row r="789" spans="1:16" ht="15">
      <c r="C789" s="528" t="s">
        <v>75</v>
      </c>
      <c r="D789" s="568">
        <v>32382268.41</v>
      </c>
      <c r="E789" s="3" t="s">
        <v>76</v>
      </c>
      <c r="H789" s="47"/>
      <c r="I789" s="47"/>
      <c r="J789" s="529">
        <f>$J$93</f>
        <v>2025</v>
      </c>
      <c r="K789" s="70"/>
      <c r="L789" s="1211" t="s">
        <v>77</v>
      </c>
      <c r="M789" s="1211"/>
      <c r="N789" s="1211"/>
      <c r="O789" s="1211"/>
    </row>
    <row r="790" spans="1:16">
      <c r="C790" s="528" t="s">
        <v>78</v>
      </c>
      <c r="D790" s="569">
        <v>2017</v>
      </c>
      <c r="E790" s="528" t="s">
        <v>79</v>
      </c>
      <c r="F790" s="47"/>
      <c r="G790" s="47"/>
      <c r="I790"/>
      <c r="J790" s="570">
        <f>IF(H783="",0,$F$17)</f>
        <v>0</v>
      </c>
      <c r="K790" s="530"/>
      <c r="L790" s="503" t="s">
        <v>285</v>
      </c>
    </row>
    <row r="791" spans="1:16">
      <c r="C791" s="528" t="s">
        <v>80</v>
      </c>
      <c r="D791" s="568">
        <v>8</v>
      </c>
      <c r="E791" s="528" t="s">
        <v>81</v>
      </c>
      <c r="F791" s="47"/>
      <c r="G791" s="47"/>
      <c r="I791"/>
      <c r="J791" s="531">
        <f>$F$70</f>
        <v>0.11032660055737779</v>
      </c>
      <c r="K791" s="489"/>
      <c r="L791" s="3" t="str">
        <f>"          INPUT TRUE-UP ARR (WITH &amp; WITHOUT INCENTIVES) FROM EACH PRIOR YEAR"</f>
        <v xml:space="preserve">          INPUT TRUE-UP ARR (WITH &amp; WITHOUT INCENTIVES) FROM EACH PRIOR YEAR</v>
      </c>
    </row>
    <row r="792" spans="1:16">
      <c r="C792" s="528" t="s">
        <v>82</v>
      </c>
      <c r="D792" s="532">
        <f>H$79</f>
        <v>36</v>
      </c>
      <c r="E792" s="528" t="s">
        <v>83</v>
      </c>
      <c r="F792" s="47"/>
      <c r="G792" s="47"/>
      <c r="I792"/>
      <c r="J792" s="531">
        <f>IF(H783="",+J791,$F$69)</f>
        <v>0.11032660055737779</v>
      </c>
      <c r="K792" s="489"/>
      <c r="L792" s="3" t="s">
        <v>165</v>
      </c>
      <c r="M792" s="489"/>
      <c r="N792" s="489"/>
      <c r="O792" s="489"/>
    </row>
    <row r="793" spans="1:16" ht="13.5" thickBot="1">
      <c r="C793" s="528" t="s">
        <v>84</v>
      </c>
      <c r="D793" s="969" t="s">
        <v>812</v>
      </c>
      <c r="E793" s="533" t="s">
        <v>85</v>
      </c>
      <c r="F793" s="534"/>
      <c r="G793" s="534"/>
      <c r="H793" s="535"/>
      <c r="I793" s="535"/>
      <c r="J793" s="521">
        <f>IF(D789=0,0,D789/D792)</f>
        <v>899507.45583333331</v>
      </c>
      <c r="K793" s="503"/>
      <c r="L793" s="503" t="s">
        <v>166</v>
      </c>
      <c r="M793" s="503"/>
      <c r="N793" s="503"/>
      <c r="O793" s="503"/>
    </row>
    <row r="794" spans="1:16" ht="38.25">
      <c r="B794" s="450"/>
      <c r="C794" s="536" t="s">
        <v>75</v>
      </c>
      <c r="D794" s="537" t="s">
        <v>86</v>
      </c>
      <c r="E794" s="538" t="s">
        <v>87</v>
      </c>
      <c r="F794" s="537" t="s">
        <v>88</v>
      </c>
      <c r="G794" s="537" t="s">
        <v>246</v>
      </c>
      <c r="H794" s="538" t="s">
        <v>159</v>
      </c>
      <c r="I794" s="539" t="s">
        <v>159</v>
      </c>
      <c r="J794" s="536" t="s">
        <v>98</v>
      </c>
      <c r="K794" s="540"/>
      <c r="L794" s="538" t="s">
        <v>161</v>
      </c>
      <c r="M794" s="538" t="s">
        <v>167</v>
      </c>
      <c r="N794" s="538" t="s">
        <v>161</v>
      </c>
      <c r="O794" s="538" t="s">
        <v>169</v>
      </c>
      <c r="P794" s="538" t="s">
        <v>89</v>
      </c>
    </row>
    <row r="795" spans="1:16" ht="13.5" thickBot="1">
      <c r="C795" s="542" t="s">
        <v>475</v>
      </c>
      <c r="D795" s="543" t="s">
        <v>476</v>
      </c>
      <c r="E795" s="542" t="s">
        <v>369</v>
      </c>
      <c r="F795" s="543" t="s">
        <v>476</v>
      </c>
      <c r="G795" s="543" t="s">
        <v>476</v>
      </c>
      <c r="H795" s="544" t="s">
        <v>101</v>
      </c>
      <c r="I795" s="545" t="s">
        <v>103</v>
      </c>
      <c r="J795" s="542" t="s">
        <v>15</v>
      </c>
      <c r="K795" s="546"/>
      <c r="L795" s="544" t="s">
        <v>90</v>
      </c>
      <c r="M795" s="544" t="s">
        <v>90</v>
      </c>
      <c r="N795" s="544" t="s">
        <v>263</v>
      </c>
      <c r="O795" s="544" t="s">
        <v>263</v>
      </c>
      <c r="P795" s="544" t="s">
        <v>263</v>
      </c>
    </row>
    <row r="796" spans="1:16">
      <c r="C796" s="548">
        <f>IF(D790= "","-",D790)</f>
        <v>2017</v>
      </c>
      <c r="D796" s="506">
        <f>+D789</f>
        <v>32382268.41</v>
      </c>
      <c r="E796" s="554">
        <f>+J793/12*(12-D791)</f>
        <v>299835.81861111108</v>
      </c>
      <c r="F796" s="601">
        <f t="shared" ref="F796:F855" si="71">+D796-E796</f>
        <v>32082432.591388889</v>
      </c>
      <c r="G796" s="506">
        <f t="shared" ref="G796:G855" si="72">+(D796+F796)/2</f>
        <v>32232350.500694446</v>
      </c>
      <c r="H796" s="550">
        <f>+J791*G796+E796</f>
        <v>3855921.4773266232</v>
      </c>
      <c r="I796" s="551">
        <f>+J792*G796+E796</f>
        <v>3855921.4773266232</v>
      </c>
      <c r="J796" s="552">
        <f t="shared" ref="J796:J855" si="73">+I796-H796</f>
        <v>0</v>
      </c>
      <c r="K796" s="552"/>
      <c r="L796" s="571">
        <v>3283917</v>
      </c>
      <c r="M796" s="602">
        <f t="shared" ref="M796:M855" si="74">IF(L796&lt;&gt;0,+H796-L796,0)</f>
        <v>572004.47732662316</v>
      </c>
      <c r="N796" s="571">
        <v>3283917</v>
      </c>
      <c r="O796" s="602">
        <f t="shared" ref="O796:O855" si="75">IF(N796&lt;&gt;0,+I796-N796,0)</f>
        <v>572004.47732662316</v>
      </c>
      <c r="P796" s="602">
        <f t="shared" ref="P796:P855" si="76">+O796-M796</f>
        <v>0</v>
      </c>
    </row>
    <row r="797" spans="1:16">
      <c r="C797" s="548">
        <f>IF(D790="","-",+C796+1)</f>
        <v>2018</v>
      </c>
      <c r="D797" s="506">
        <f t="shared" ref="D797:D855" si="77">F796</f>
        <v>32082432.591388889</v>
      </c>
      <c r="E797" s="549">
        <f>IF(D797&gt;$J$793,$J$793,D797)</f>
        <v>899507.45583333331</v>
      </c>
      <c r="F797" s="549">
        <f t="shared" si="71"/>
        <v>31182925.135555554</v>
      </c>
      <c r="G797" s="506">
        <f t="shared" si="72"/>
        <v>31632678.863472223</v>
      </c>
      <c r="H797" s="554">
        <f>+J791*G797+E797</f>
        <v>4389433.3813634403</v>
      </c>
      <c r="I797" s="555">
        <f>+J792*G797+E797</f>
        <v>4389433.3813634403</v>
      </c>
      <c r="J797" s="552">
        <f t="shared" si="73"/>
        <v>0</v>
      </c>
      <c r="K797" s="552"/>
      <c r="L797" s="572">
        <v>3670194</v>
      </c>
      <c r="M797" s="552">
        <f t="shared" si="74"/>
        <v>719239.3813634403</v>
      </c>
      <c r="N797" s="572">
        <v>3670194</v>
      </c>
      <c r="O797" s="552">
        <f t="shared" si="75"/>
        <v>719239.3813634403</v>
      </c>
      <c r="P797" s="552">
        <f t="shared" si="76"/>
        <v>0</v>
      </c>
    </row>
    <row r="798" spans="1:16">
      <c r="C798" s="548">
        <f>IF(D790="","-",+C797+1)</f>
        <v>2019</v>
      </c>
      <c r="D798" s="970">
        <f t="shared" si="77"/>
        <v>31182925.135555554</v>
      </c>
      <c r="E798" s="549">
        <f t="shared" ref="E798:E855" si="78">IF(D798&gt;$J$793,$J$793,D798)</f>
        <v>899507.45583333331</v>
      </c>
      <c r="F798" s="549">
        <f t="shared" si="71"/>
        <v>30283417.67972222</v>
      </c>
      <c r="G798" s="506">
        <f t="shared" si="72"/>
        <v>30733171.407638885</v>
      </c>
      <c r="H798" s="554">
        <f>+J791*G798+E798</f>
        <v>4290193.7815853329</v>
      </c>
      <c r="I798" s="555">
        <f>+J792*G798+E798</f>
        <v>4290193.7815853329</v>
      </c>
      <c r="J798" s="552">
        <f t="shared" si="73"/>
        <v>0</v>
      </c>
      <c r="K798" s="552"/>
      <c r="L798" s="572">
        <v>3932147</v>
      </c>
      <c r="M798" s="552">
        <f t="shared" si="74"/>
        <v>358046.78158533294</v>
      </c>
      <c r="N798" s="572">
        <v>3932147</v>
      </c>
      <c r="O798" s="552">
        <f t="shared" si="75"/>
        <v>358046.78158533294</v>
      </c>
      <c r="P798" s="552">
        <f t="shared" si="76"/>
        <v>0</v>
      </c>
    </row>
    <row r="799" spans="1:16">
      <c r="C799" s="548">
        <f>IF(D790="","-",+C798+1)</f>
        <v>2020</v>
      </c>
      <c r="D799" s="506">
        <f t="shared" si="77"/>
        <v>30283417.67972222</v>
      </c>
      <c r="E799" s="549">
        <f t="shared" si="78"/>
        <v>899507.45583333331</v>
      </c>
      <c r="F799" s="549">
        <f t="shared" si="71"/>
        <v>29383910.223888885</v>
      </c>
      <c r="G799" s="506">
        <f t="shared" si="72"/>
        <v>29833663.951805554</v>
      </c>
      <c r="H799" s="554">
        <f>+J791*G799+E799</f>
        <v>4190954.1818072256</v>
      </c>
      <c r="I799" s="555">
        <f>+J792*G799+E799</f>
        <v>4190954.1818072256</v>
      </c>
      <c r="J799" s="552">
        <f t="shared" si="73"/>
        <v>0</v>
      </c>
      <c r="K799" s="552"/>
      <c r="L799" s="572">
        <v>4014940.5433018482</v>
      </c>
      <c r="M799" s="552">
        <f t="shared" si="74"/>
        <v>176013.63850537734</v>
      </c>
      <c r="N799" s="572">
        <v>4014940.5433018482</v>
      </c>
      <c r="O799" s="552">
        <f t="shared" si="75"/>
        <v>176013.63850537734</v>
      </c>
      <c r="P799" s="552">
        <f t="shared" si="76"/>
        <v>0</v>
      </c>
    </row>
    <row r="800" spans="1:16">
      <c r="C800" s="548">
        <f>IF(D790="","-",+C799+1)</f>
        <v>2021</v>
      </c>
      <c r="D800" s="970">
        <f t="shared" si="77"/>
        <v>29383910.223888885</v>
      </c>
      <c r="E800" s="549">
        <f t="shared" si="78"/>
        <v>899507.45583333331</v>
      </c>
      <c r="F800" s="549">
        <f t="shared" si="71"/>
        <v>28484402.768055551</v>
      </c>
      <c r="G800" s="506">
        <f t="shared" si="72"/>
        <v>28934156.495972216</v>
      </c>
      <c r="H800" s="554">
        <f>+J791*G800+E800</f>
        <v>4091714.5820291182</v>
      </c>
      <c r="I800" s="555">
        <f>+J792*G800+E800</f>
        <v>4091714.5820291182</v>
      </c>
      <c r="J800" s="552">
        <f t="shared" si="73"/>
        <v>0</v>
      </c>
      <c r="K800" s="552"/>
      <c r="L800" s="572">
        <v>4001666.4118550606</v>
      </c>
      <c r="M800" s="552">
        <f t="shared" si="74"/>
        <v>90048.170174057595</v>
      </c>
      <c r="N800" s="572">
        <v>4001666.4118550606</v>
      </c>
      <c r="O800" s="552">
        <f t="shared" si="75"/>
        <v>90048.170174057595</v>
      </c>
      <c r="P800" s="552">
        <f t="shared" si="76"/>
        <v>0</v>
      </c>
    </row>
    <row r="801" spans="3:16">
      <c r="C801" s="548">
        <f>IF(D790="","-",+C800+1)</f>
        <v>2022</v>
      </c>
      <c r="D801" s="970">
        <f t="shared" si="77"/>
        <v>28484402.768055551</v>
      </c>
      <c r="E801" s="549">
        <f t="shared" si="78"/>
        <v>899507.45583333331</v>
      </c>
      <c r="F801" s="549">
        <f t="shared" si="71"/>
        <v>27584895.312222216</v>
      </c>
      <c r="G801" s="506">
        <f t="shared" si="72"/>
        <v>28034649.040138885</v>
      </c>
      <c r="H801" s="554">
        <f>+J791*G801+E801</f>
        <v>3992474.9822510108</v>
      </c>
      <c r="I801" s="555">
        <f>+J792*G801+E801</f>
        <v>3992474.9822510108</v>
      </c>
      <c r="J801" s="552">
        <f t="shared" si="73"/>
        <v>0</v>
      </c>
      <c r="K801" s="552"/>
      <c r="L801" s="572">
        <v>4088252.0620316346</v>
      </c>
      <c r="M801" s="552">
        <f t="shared" si="74"/>
        <v>-95777.079780623782</v>
      </c>
      <c r="N801" s="572">
        <v>4088252.0620316346</v>
      </c>
      <c r="O801" s="552">
        <f t="shared" si="75"/>
        <v>-95777.079780623782</v>
      </c>
      <c r="P801" s="552">
        <f t="shared" si="76"/>
        <v>0</v>
      </c>
    </row>
    <row r="802" spans="3:16">
      <c r="C802" s="548">
        <f>IF(D790="","-",+C801+1)</f>
        <v>2023</v>
      </c>
      <c r="D802" s="970">
        <f t="shared" si="77"/>
        <v>27584895.312222216</v>
      </c>
      <c r="E802" s="549">
        <f t="shared" si="78"/>
        <v>899507.45583333331</v>
      </c>
      <c r="F802" s="549">
        <f t="shared" si="71"/>
        <v>26685387.856388882</v>
      </c>
      <c r="G802" s="506">
        <f t="shared" si="72"/>
        <v>27135141.584305547</v>
      </c>
      <c r="H802" s="554">
        <f>+J791*G802+E802</f>
        <v>3893235.3824729035</v>
      </c>
      <c r="I802" s="555">
        <f>+J792*G802+E802</f>
        <v>3893235.3824729035</v>
      </c>
      <c r="J802" s="552">
        <f t="shared" si="73"/>
        <v>0</v>
      </c>
      <c r="K802" s="552"/>
      <c r="L802" s="572">
        <v>3989097.0707493438</v>
      </c>
      <c r="M802" s="552">
        <f t="shared" si="74"/>
        <v>-95861.688276440371</v>
      </c>
      <c r="N802" s="572">
        <v>3989097.0707493438</v>
      </c>
      <c r="O802" s="552">
        <f t="shared" si="75"/>
        <v>-95861.688276440371</v>
      </c>
      <c r="P802" s="552">
        <f t="shared" si="76"/>
        <v>0</v>
      </c>
    </row>
    <row r="803" spans="3:16">
      <c r="C803" s="548">
        <f>IF(D790="","-",+C802+1)</f>
        <v>2024</v>
      </c>
      <c r="D803" s="506">
        <f t="shared" si="77"/>
        <v>26685387.856388882</v>
      </c>
      <c r="E803" s="549">
        <f t="shared" si="78"/>
        <v>899507.45583333331</v>
      </c>
      <c r="F803" s="549">
        <f t="shared" si="71"/>
        <v>25785880.400555547</v>
      </c>
      <c r="G803" s="506">
        <f t="shared" si="72"/>
        <v>26235634.128472216</v>
      </c>
      <c r="H803" s="554">
        <f>+J791*G803+E803</f>
        <v>3793995.7826947961</v>
      </c>
      <c r="I803" s="555">
        <f>+J792*G803+E803</f>
        <v>3793995.7826947961</v>
      </c>
      <c r="J803" s="552">
        <f t="shared" si="73"/>
        <v>0</v>
      </c>
      <c r="K803" s="552"/>
      <c r="L803" s="572">
        <v>3874549.8457288984</v>
      </c>
      <c r="M803" s="552">
        <f t="shared" si="74"/>
        <v>-80554.063034102321</v>
      </c>
      <c r="N803" s="572">
        <v>3874549.8457288984</v>
      </c>
      <c r="O803" s="552">
        <f t="shared" si="75"/>
        <v>-80554.063034102321</v>
      </c>
      <c r="P803" s="552">
        <f t="shared" si="76"/>
        <v>0</v>
      </c>
    </row>
    <row r="804" spans="3:16">
      <c r="C804" s="548">
        <f>IF(D790="","-",+C803+1)</f>
        <v>2025</v>
      </c>
      <c r="D804" s="506">
        <f t="shared" si="77"/>
        <v>25785880.400555547</v>
      </c>
      <c r="E804" s="549">
        <f t="shared" si="78"/>
        <v>899507.45583333331</v>
      </c>
      <c r="F804" s="549">
        <f t="shared" si="71"/>
        <v>24886372.944722213</v>
      </c>
      <c r="G804" s="506">
        <f t="shared" si="72"/>
        <v>25336126.672638878</v>
      </c>
      <c r="H804" s="554">
        <f>+J791*G804+E804</f>
        <v>3694756.1829166878</v>
      </c>
      <c r="I804" s="555">
        <f>+J792*G804+E804</f>
        <v>3694756.1829166878</v>
      </c>
      <c r="J804" s="552">
        <f t="shared" si="73"/>
        <v>0</v>
      </c>
      <c r="K804" s="552"/>
      <c r="L804" s="572">
        <v>3811248.0488271257</v>
      </c>
      <c r="M804" s="552">
        <f t="shared" si="74"/>
        <v>-116491.86591043789</v>
      </c>
      <c r="N804" s="572">
        <v>3811248.0488271257</v>
      </c>
      <c r="O804" s="552">
        <f t="shared" si="75"/>
        <v>-116491.86591043789</v>
      </c>
      <c r="P804" s="552">
        <f t="shared" si="76"/>
        <v>0</v>
      </c>
    </row>
    <row r="805" spans="3:16">
      <c r="C805" s="548">
        <f>IF(D790="","-",+C804+1)</f>
        <v>2026</v>
      </c>
      <c r="D805" s="506">
        <f t="shared" si="77"/>
        <v>24886372.944722213</v>
      </c>
      <c r="E805" s="549">
        <f t="shared" si="78"/>
        <v>899507.45583333331</v>
      </c>
      <c r="F805" s="549">
        <f t="shared" si="71"/>
        <v>23986865.488888878</v>
      </c>
      <c r="G805" s="506">
        <f t="shared" si="72"/>
        <v>24436619.216805547</v>
      </c>
      <c r="H805" s="554">
        <f>+J791*G805+E805</f>
        <v>3595516.5831385814</v>
      </c>
      <c r="I805" s="555">
        <f>+J792*G805+E805</f>
        <v>3595516.5831385814</v>
      </c>
      <c r="J805" s="552">
        <f t="shared" si="73"/>
        <v>0</v>
      </c>
      <c r="K805" s="552"/>
      <c r="L805" s="572"/>
      <c r="M805" s="552">
        <f t="shared" si="74"/>
        <v>0</v>
      </c>
      <c r="N805" s="572"/>
      <c r="O805" s="552">
        <f t="shared" si="75"/>
        <v>0</v>
      </c>
      <c r="P805" s="552">
        <f t="shared" si="76"/>
        <v>0</v>
      </c>
    </row>
    <row r="806" spans="3:16">
      <c r="C806" s="548">
        <f>IF(D790="","-",+C805+1)</f>
        <v>2027</v>
      </c>
      <c r="D806" s="506">
        <f t="shared" si="77"/>
        <v>23986865.488888878</v>
      </c>
      <c r="E806" s="549">
        <f t="shared" si="78"/>
        <v>899507.45583333331</v>
      </c>
      <c r="F806" s="549">
        <f t="shared" si="71"/>
        <v>23087358.033055544</v>
      </c>
      <c r="G806" s="506">
        <f t="shared" si="72"/>
        <v>23537111.760972209</v>
      </c>
      <c r="H806" s="554">
        <f>+J791*G806+E806</f>
        <v>3496276.9833604731</v>
      </c>
      <c r="I806" s="555">
        <f>+J792*G806+E806</f>
        <v>3496276.9833604731</v>
      </c>
      <c r="J806" s="552">
        <f t="shared" si="73"/>
        <v>0</v>
      </c>
      <c r="K806" s="552"/>
      <c r="L806" s="572"/>
      <c r="M806" s="552">
        <f t="shared" si="74"/>
        <v>0</v>
      </c>
      <c r="N806" s="572"/>
      <c r="O806" s="552">
        <f t="shared" si="75"/>
        <v>0</v>
      </c>
      <c r="P806" s="552">
        <f t="shared" si="76"/>
        <v>0</v>
      </c>
    </row>
    <row r="807" spans="3:16">
      <c r="C807" s="548">
        <f>IF(D790="","-",+C806+1)</f>
        <v>2028</v>
      </c>
      <c r="D807" s="506">
        <f t="shared" si="77"/>
        <v>23087358.033055544</v>
      </c>
      <c r="E807" s="549">
        <f t="shared" si="78"/>
        <v>899507.45583333331</v>
      </c>
      <c r="F807" s="549">
        <f t="shared" si="71"/>
        <v>22187850.577222209</v>
      </c>
      <c r="G807" s="506">
        <f t="shared" si="72"/>
        <v>22637604.305138879</v>
      </c>
      <c r="H807" s="554">
        <f>+J791*G807+E807</f>
        <v>3397037.3835823666</v>
      </c>
      <c r="I807" s="555">
        <f>+J792*G807+E807</f>
        <v>3397037.3835823666</v>
      </c>
      <c r="J807" s="552">
        <f t="shared" si="73"/>
        <v>0</v>
      </c>
      <c r="K807" s="552"/>
      <c r="L807" s="572"/>
      <c r="M807" s="552">
        <f t="shared" si="74"/>
        <v>0</v>
      </c>
      <c r="N807" s="572"/>
      <c r="O807" s="552">
        <f t="shared" si="75"/>
        <v>0</v>
      </c>
      <c r="P807" s="552">
        <f t="shared" si="76"/>
        <v>0</v>
      </c>
    </row>
    <row r="808" spans="3:16">
      <c r="C808" s="548">
        <f>IF(D790="","-",+C807+1)</f>
        <v>2029</v>
      </c>
      <c r="D808" s="506">
        <f t="shared" si="77"/>
        <v>22187850.577222209</v>
      </c>
      <c r="E808" s="549">
        <f t="shared" si="78"/>
        <v>899507.45583333331</v>
      </c>
      <c r="F808" s="549">
        <f t="shared" si="71"/>
        <v>21288343.121388875</v>
      </c>
      <c r="G808" s="506">
        <f t="shared" si="72"/>
        <v>21738096.84930554</v>
      </c>
      <c r="H808" s="554">
        <f>+J791*G808+E808</f>
        <v>3297797.7838042583</v>
      </c>
      <c r="I808" s="555">
        <f>+J792*G808+E808</f>
        <v>3297797.7838042583</v>
      </c>
      <c r="J808" s="552">
        <f t="shared" si="73"/>
        <v>0</v>
      </c>
      <c r="K808" s="552"/>
      <c r="L808" s="572"/>
      <c r="M808" s="552">
        <f t="shared" si="74"/>
        <v>0</v>
      </c>
      <c r="N808" s="572"/>
      <c r="O808" s="552">
        <f t="shared" si="75"/>
        <v>0</v>
      </c>
      <c r="P808" s="552">
        <f t="shared" si="76"/>
        <v>0</v>
      </c>
    </row>
    <row r="809" spans="3:16">
      <c r="C809" s="548">
        <f>IF(D790="","-",+C808+1)</f>
        <v>2030</v>
      </c>
      <c r="D809" s="506">
        <f t="shared" si="77"/>
        <v>21288343.121388875</v>
      </c>
      <c r="E809" s="549">
        <f t="shared" si="78"/>
        <v>899507.45583333331</v>
      </c>
      <c r="F809" s="549">
        <f t="shared" si="71"/>
        <v>20388835.66555554</v>
      </c>
      <c r="G809" s="506">
        <f t="shared" si="72"/>
        <v>20838589.39347221</v>
      </c>
      <c r="H809" s="554">
        <f>+J791*G809+E809</f>
        <v>3198558.184026151</v>
      </c>
      <c r="I809" s="555">
        <f>+J792*G809+E809</f>
        <v>3198558.184026151</v>
      </c>
      <c r="J809" s="552">
        <f t="shared" si="73"/>
        <v>0</v>
      </c>
      <c r="K809" s="552"/>
      <c r="L809" s="572"/>
      <c r="M809" s="552">
        <f t="shared" si="74"/>
        <v>0</v>
      </c>
      <c r="N809" s="572"/>
      <c r="O809" s="552">
        <f t="shared" si="75"/>
        <v>0</v>
      </c>
      <c r="P809" s="552">
        <f t="shared" si="76"/>
        <v>0</v>
      </c>
    </row>
    <row r="810" spans="3:16">
      <c r="C810" s="548">
        <f>IF(D790="","-",+C809+1)</f>
        <v>2031</v>
      </c>
      <c r="D810" s="506">
        <f t="shared" si="77"/>
        <v>20388835.66555554</v>
      </c>
      <c r="E810" s="549">
        <f t="shared" si="78"/>
        <v>899507.45583333331</v>
      </c>
      <c r="F810" s="549">
        <f t="shared" si="71"/>
        <v>19489328.209722206</v>
      </c>
      <c r="G810" s="506">
        <f t="shared" si="72"/>
        <v>19939081.937638871</v>
      </c>
      <c r="H810" s="554">
        <f>+J791*G810+E810</f>
        <v>3099318.5842480436</v>
      </c>
      <c r="I810" s="555">
        <f>+J792*G810+E810</f>
        <v>3099318.5842480436</v>
      </c>
      <c r="J810" s="552">
        <f t="shared" si="73"/>
        <v>0</v>
      </c>
      <c r="K810" s="552"/>
      <c r="L810" s="572"/>
      <c r="M810" s="552">
        <f t="shared" si="74"/>
        <v>0</v>
      </c>
      <c r="N810" s="572"/>
      <c r="O810" s="552">
        <f t="shared" si="75"/>
        <v>0</v>
      </c>
      <c r="P810" s="552">
        <f t="shared" si="76"/>
        <v>0</v>
      </c>
    </row>
    <row r="811" spans="3:16">
      <c r="C811" s="548">
        <f>IF(D790="","-",+C810+1)</f>
        <v>2032</v>
      </c>
      <c r="D811" s="506">
        <f t="shared" si="77"/>
        <v>19489328.209722206</v>
      </c>
      <c r="E811" s="549">
        <f t="shared" si="78"/>
        <v>899507.45583333331</v>
      </c>
      <c r="F811" s="549">
        <f t="shared" si="71"/>
        <v>18589820.753888872</v>
      </c>
      <c r="G811" s="506">
        <f t="shared" si="72"/>
        <v>19039574.481805541</v>
      </c>
      <c r="H811" s="554">
        <f>+J791*G811+E811</f>
        <v>3000078.9844699362</v>
      </c>
      <c r="I811" s="555">
        <f>+J792*G811+E811</f>
        <v>3000078.9844699362</v>
      </c>
      <c r="J811" s="552">
        <f t="shared" si="73"/>
        <v>0</v>
      </c>
      <c r="K811" s="552"/>
      <c r="L811" s="572"/>
      <c r="M811" s="552">
        <f t="shared" si="74"/>
        <v>0</v>
      </c>
      <c r="N811" s="572"/>
      <c r="O811" s="552">
        <f t="shared" si="75"/>
        <v>0</v>
      </c>
      <c r="P811" s="552">
        <f t="shared" si="76"/>
        <v>0</v>
      </c>
    </row>
    <row r="812" spans="3:16">
      <c r="C812" s="548">
        <f>IF(D790="","-",+C811+1)</f>
        <v>2033</v>
      </c>
      <c r="D812" s="506">
        <f t="shared" si="77"/>
        <v>18589820.753888872</v>
      </c>
      <c r="E812" s="549">
        <f t="shared" si="78"/>
        <v>899507.45583333331</v>
      </c>
      <c r="F812" s="549">
        <f t="shared" si="71"/>
        <v>17690313.298055537</v>
      </c>
      <c r="G812" s="506">
        <f t="shared" si="72"/>
        <v>18140067.025972202</v>
      </c>
      <c r="H812" s="554">
        <f>+J791*G812+E812</f>
        <v>2900839.3846918289</v>
      </c>
      <c r="I812" s="555">
        <f>+J792*G812+E812</f>
        <v>2900839.3846918289</v>
      </c>
      <c r="J812" s="552">
        <f t="shared" si="73"/>
        <v>0</v>
      </c>
      <c r="K812" s="552"/>
      <c r="L812" s="572"/>
      <c r="M812" s="552">
        <f t="shared" si="74"/>
        <v>0</v>
      </c>
      <c r="N812" s="572"/>
      <c r="O812" s="552">
        <f t="shared" si="75"/>
        <v>0</v>
      </c>
      <c r="P812" s="552">
        <f t="shared" si="76"/>
        <v>0</v>
      </c>
    </row>
    <row r="813" spans="3:16">
      <c r="C813" s="548">
        <f>IF(D790="","-",+C812+1)</f>
        <v>2034</v>
      </c>
      <c r="D813" s="506">
        <f t="shared" si="77"/>
        <v>17690313.298055537</v>
      </c>
      <c r="E813" s="549">
        <f t="shared" si="78"/>
        <v>899507.45583333331</v>
      </c>
      <c r="F813" s="549">
        <f t="shared" si="71"/>
        <v>16790805.842222203</v>
      </c>
      <c r="G813" s="506">
        <f t="shared" si="72"/>
        <v>17240559.570138872</v>
      </c>
      <c r="H813" s="554">
        <f>+J791*G813+E813</f>
        <v>2801599.7849137215</v>
      </c>
      <c r="I813" s="555">
        <f>+J792*G813+E813</f>
        <v>2801599.7849137215</v>
      </c>
      <c r="J813" s="552">
        <f t="shared" si="73"/>
        <v>0</v>
      </c>
      <c r="K813" s="552"/>
      <c r="L813" s="572"/>
      <c r="M813" s="552">
        <f t="shared" si="74"/>
        <v>0</v>
      </c>
      <c r="N813" s="572"/>
      <c r="O813" s="552">
        <f t="shared" si="75"/>
        <v>0</v>
      </c>
      <c r="P813" s="552">
        <f t="shared" si="76"/>
        <v>0</v>
      </c>
    </row>
    <row r="814" spans="3:16">
      <c r="C814" s="548">
        <f>IF(D790="","-",+C813+1)</f>
        <v>2035</v>
      </c>
      <c r="D814" s="506">
        <f t="shared" si="77"/>
        <v>16790805.842222203</v>
      </c>
      <c r="E814" s="549">
        <f t="shared" si="78"/>
        <v>899507.45583333331</v>
      </c>
      <c r="F814" s="549">
        <f t="shared" si="71"/>
        <v>15891298.38638887</v>
      </c>
      <c r="G814" s="506">
        <f t="shared" si="72"/>
        <v>16341052.114305537</v>
      </c>
      <c r="H814" s="554">
        <f>+J791*G814+E814</f>
        <v>2702360.1851356141</v>
      </c>
      <c r="I814" s="555">
        <f>+J792*G814+E814</f>
        <v>2702360.1851356141</v>
      </c>
      <c r="J814" s="552">
        <f t="shared" si="73"/>
        <v>0</v>
      </c>
      <c r="K814" s="552"/>
      <c r="L814" s="572"/>
      <c r="M814" s="552">
        <f t="shared" si="74"/>
        <v>0</v>
      </c>
      <c r="N814" s="572"/>
      <c r="O814" s="552">
        <f t="shared" si="75"/>
        <v>0</v>
      </c>
      <c r="P814" s="552">
        <f t="shared" si="76"/>
        <v>0</v>
      </c>
    </row>
    <row r="815" spans="3:16">
      <c r="C815" s="548">
        <f>IF(D790="","-",+C814+1)</f>
        <v>2036</v>
      </c>
      <c r="D815" s="506">
        <f t="shared" si="77"/>
        <v>15891298.38638887</v>
      </c>
      <c r="E815" s="549">
        <f t="shared" si="78"/>
        <v>899507.45583333331</v>
      </c>
      <c r="F815" s="549">
        <f t="shared" si="71"/>
        <v>14991790.930555537</v>
      </c>
      <c r="G815" s="506">
        <f t="shared" si="72"/>
        <v>15441544.658472203</v>
      </c>
      <c r="H815" s="554">
        <f>+J791*G815+E815</f>
        <v>2603120.5853575068</v>
      </c>
      <c r="I815" s="555">
        <f>+J792*G815+E815</f>
        <v>2603120.5853575068</v>
      </c>
      <c r="J815" s="552">
        <f t="shared" si="73"/>
        <v>0</v>
      </c>
      <c r="K815" s="552"/>
      <c r="L815" s="572"/>
      <c r="M815" s="552">
        <f t="shared" si="74"/>
        <v>0</v>
      </c>
      <c r="N815" s="572"/>
      <c r="O815" s="552">
        <f t="shared" si="75"/>
        <v>0</v>
      </c>
      <c r="P815" s="552">
        <f t="shared" si="76"/>
        <v>0</v>
      </c>
    </row>
    <row r="816" spans="3:16">
      <c r="C816" s="548">
        <f>IF(D790="","-",+C815+1)</f>
        <v>2037</v>
      </c>
      <c r="D816" s="506">
        <f t="shared" si="77"/>
        <v>14991790.930555537</v>
      </c>
      <c r="E816" s="549">
        <f t="shared" si="78"/>
        <v>899507.45583333331</v>
      </c>
      <c r="F816" s="549">
        <f t="shared" si="71"/>
        <v>14092283.474722205</v>
      </c>
      <c r="G816" s="506">
        <f t="shared" si="72"/>
        <v>14542037.202638872</v>
      </c>
      <c r="H816" s="554">
        <f>+J791*G816+E816</f>
        <v>2503880.9855793994</v>
      </c>
      <c r="I816" s="555">
        <f>+J792*G816+E816</f>
        <v>2503880.9855793994</v>
      </c>
      <c r="J816" s="552">
        <f t="shared" si="73"/>
        <v>0</v>
      </c>
      <c r="K816" s="552"/>
      <c r="L816" s="572"/>
      <c r="M816" s="552">
        <f t="shared" si="74"/>
        <v>0</v>
      </c>
      <c r="N816" s="572"/>
      <c r="O816" s="552">
        <f t="shared" si="75"/>
        <v>0</v>
      </c>
      <c r="P816" s="552">
        <f t="shared" si="76"/>
        <v>0</v>
      </c>
    </row>
    <row r="817" spans="3:16">
      <c r="C817" s="548">
        <f>IF(D790="","-",+C816+1)</f>
        <v>2038</v>
      </c>
      <c r="D817" s="506">
        <f t="shared" si="77"/>
        <v>14092283.474722205</v>
      </c>
      <c r="E817" s="549">
        <f t="shared" si="78"/>
        <v>899507.45583333331</v>
      </c>
      <c r="F817" s="549">
        <f t="shared" si="71"/>
        <v>13192776.018888872</v>
      </c>
      <c r="G817" s="506">
        <f t="shared" si="72"/>
        <v>13642529.746805537</v>
      </c>
      <c r="H817" s="554">
        <f>+J791*G817+E817</f>
        <v>2404641.385801292</v>
      </c>
      <c r="I817" s="555">
        <f>+J792*G817+E817</f>
        <v>2404641.385801292</v>
      </c>
      <c r="J817" s="552">
        <f t="shared" si="73"/>
        <v>0</v>
      </c>
      <c r="K817" s="552"/>
      <c r="L817" s="572"/>
      <c r="M817" s="552">
        <f t="shared" si="74"/>
        <v>0</v>
      </c>
      <c r="N817" s="572"/>
      <c r="O817" s="552">
        <f t="shared" si="75"/>
        <v>0</v>
      </c>
      <c r="P817" s="552">
        <f t="shared" si="76"/>
        <v>0</v>
      </c>
    </row>
    <row r="818" spans="3:16">
      <c r="C818" s="548">
        <f>IF(D790="","-",+C817+1)</f>
        <v>2039</v>
      </c>
      <c r="D818" s="506">
        <f t="shared" si="77"/>
        <v>13192776.018888872</v>
      </c>
      <c r="E818" s="549">
        <f t="shared" si="78"/>
        <v>899507.45583333331</v>
      </c>
      <c r="F818" s="549">
        <f t="shared" si="71"/>
        <v>12293268.56305554</v>
      </c>
      <c r="G818" s="506">
        <f t="shared" si="72"/>
        <v>12743022.290972207</v>
      </c>
      <c r="H818" s="554">
        <f>+J791*G818+E818</f>
        <v>2305401.7860231851</v>
      </c>
      <c r="I818" s="555">
        <f>+J792*G818+E818</f>
        <v>2305401.7860231851</v>
      </c>
      <c r="J818" s="552">
        <f t="shared" si="73"/>
        <v>0</v>
      </c>
      <c r="K818" s="552"/>
      <c r="L818" s="572"/>
      <c r="M818" s="552">
        <f t="shared" si="74"/>
        <v>0</v>
      </c>
      <c r="N818" s="572"/>
      <c r="O818" s="552">
        <f t="shared" si="75"/>
        <v>0</v>
      </c>
      <c r="P818" s="552">
        <f t="shared" si="76"/>
        <v>0</v>
      </c>
    </row>
    <row r="819" spans="3:16">
      <c r="C819" s="548">
        <f>IF(D790="","-",+C818+1)</f>
        <v>2040</v>
      </c>
      <c r="D819" s="506">
        <f t="shared" si="77"/>
        <v>12293268.56305554</v>
      </c>
      <c r="E819" s="549">
        <f t="shared" si="78"/>
        <v>899507.45583333331</v>
      </c>
      <c r="F819" s="549">
        <f t="shared" si="71"/>
        <v>11393761.107222207</v>
      </c>
      <c r="G819" s="506">
        <f t="shared" si="72"/>
        <v>11843514.835138872</v>
      </c>
      <c r="H819" s="554">
        <f>+J791*G819+E819</f>
        <v>2206162.1862450778</v>
      </c>
      <c r="I819" s="555">
        <f>+J792*G819+E819</f>
        <v>2206162.1862450778</v>
      </c>
      <c r="J819" s="552">
        <f t="shared" si="73"/>
        <v>0</v>
      </c>
      <c r="K819" s="552"/>
      <c r="L819" s="572"/>
      <c r="M819" s="552">
        <f t="shared" si="74"/>
        <v>0</v>
      </c>
      <c r="N819" s="572"/>
      <c r="O819" s="552">
        <f t="shared" si="75"/>
        <v>0</v>
      </c>
      <c r="P819" s="552">
        <f t="shared" si="76"/>
        <v>0</v>
      </c>
    </row>
    <row r="820" spans="3:16">
      <c r="C820" s="548">
        <f>IF(D790="","-",+C819+1)</f>
        <v>2041</v>
      </c>
      <c r="D820" s="506">
        <f t="shared" si="77"/>
        <v>11393761.107222207</v>
      </c>
      <c r="E820" s="549">
        <f t="shared" si="78"/>
        <v>899507.45583333331</v>
      </c>
      <c r="F820" s="549">
        <f t="shared" si="71"/>
        <v>10494253.651388874</v>
      </c>
      <c r="G820" s="506">
        <f t="shared" si="72"/>
        <v>10944007.379305542</v>
      </c>
      <c r="H820" s="554">
        <f>+J791*G820+E820</f>
        <v>2106922.5864669709</v>
      </c>
      <c r="I820" s="555">
        <f>+J792*G820+E820</f>
        <v>2106922.5864669709</v>
      </c>
      <c r="J820" s="552">
        <f t="shared" si="73"/>
        <v>0</v>
      </c>
      <c r="K820" s="552"/>
      <c r="L820" s="572"/>
      <c r="M820" s="552">
        <f t="shared" si="74"/>
        <v>0</v>
      </c>
      <c r="N820" s="572"/>
      <c r="O820" s="552">
        <f t="shared" si="75"/>
        <v>0</v>
      </c>
      <c r="P820" s="552">
        <f t="shared" si="76"/>
        <v>0</v>
      </c>
    </row>
    <row r="821" spans="3:16">
      <c r="C821" s="548">
        <f>IF(D790="","-",+C820+1)</f>
        <v>2042</v>
      </c>
      <c r="D821" s="506">
        <f t="shared" si="77"/>
        <v>10494253.651388874</v>
      </c>
      <c r="E821" s="549">
        <f t="shared" si="78"/>
        <v>899507.45583333331</v>
      </c>
      <c r="F821" s="549">
        <f t="shared" si="71"/>
        <v>9594746.1955555417</v>
      </c>
      <c r="G821" s="506">
        <f t="shared" si="72"/>
        <v>10044499.923472207</v>
      </c>
      <c r="H821" s="554">
        <f>+J791*G821+E821</f>
        <v>2007682.9866888633</v>
      </c>
      <c r="I821" s="555">
        <f>+J792*G821+E821</f>
        <v>2007682.9866888633</v>
      </c>
      <c r="J821" s="552">
        <f t="shared" si="73"/>
        <v>0</v>
      </c>
      <c r="K821" s="552"/>
      <c r="L821" s="572"/>
      <c r="M821" s="552">
        <f t="shared" si="74"/>
        <v>0</v>
      </c>
      <c r="N821" s="572"/>
      <c r="O821" s="552">
        <f t="shared" si="75"/>
        <v>0</v>
      </c>
      <c r="P821" s="552">
        <f t="shared" si="76"/>
        <v>0</v>
      </c>
    </row>
    <row r="822" spans="3:16">
      <c r="C822" s="548">
        <f>IF(D790="","-",+C821+1)</f>
        <v>2043</v>
      </c>
      <c r="D822" s="506">
        <f t="shared" si="77"/>
        <v>9594746.1955555417</v>
      </c>
      <c r="E822" s="549">
        <f t="shared" si="78"/>
        <v>899507.45583333331</v>
      </c>
      <c r="F822" s="549">
        <f t="shared" si="71"/>
        <v>8695238.7397222091</v>
      </c>
      <c r="G822" s="506">
        <f t="shared" si="72"/>
        <v>9144992.4676388763</v>
      </c>
      <c r="H822" s="554">
        <f>+J791*G822+E822</f>
        <v>1908443.3869107561</v>
      </c>
      <c r="I822" s="555">
        <f>+J792*G822+E822</f>
        <v>1908443.3869107561</v>
      </c>
      <c r="J822" s="552">
        <f t="shared" si="73"/>
        <v>0</v>
      </c>
      <c r="K822" s="552"/>
      <c r="L822" s="572"/>
      <c r="M822" s="552">
        <f t="shared" si="74"/>
        <v>0</v>
      </c>
      <c r="N822" s="572"/>
      <c r="O822" s="552">
        <f t="shared" si="75"/>
        <v>0</v>
      </c>
      <c r="P822" s="552">
        <f t="shared" si="76"/>
        <v>0</v>
      </c>
    </row>
    <row r="823" spans="3:16">
      <c r="C823" s="548">
        <f>IF(D790="","-",+C822+1)</f>
        <v>2044</v>
      </c>
      <c r="D823" s="506">
        <f t="shared" si="77"/>
        <v>8695238.7397222091</v>
      </c>
      <c r="E823" s="549">
        <f t="shared" si="78"/>
        <v>899507.45583333331</v>
      </c>
      <c r="F823" s="549">
        <f t="shared" si="71"/>
        <v>7795731.2838888755</v>
      </c>
      <c r="G823" s="506">
        <f t="shared" si="72"/>
        <v>8245485.0118055418</v>
      </c>
      <c r="H823" s="554">
        <f>+J791*G823+E823</f>
        <v>1809203.7871326488</v>
      </c>
      <c r="I823" s="555">
        <f>+J792*G823+E823</f>
        <v>1809203.7871326488</v>
      </c>
      <c r="J823" s="552">
        <f t="shared" si="73"/>
        <v>0</v>
      </c>
      <c r="K823" s="552"/>
      <c r="L823" s="572"/>
      <c r="M823" s="552">
        <f t="shared" si="74"/>
        <v>0</v>
      </c>
      <c r="N823" s="572"/>
      <c r="O823" s="552">
        <f t="shared" si="75"/>
        <v>0</v>
      </c>
      <c r="P823" s="552">
        <f t="shared" si="76"/>
        <v>0</v>
      </c>
    </row>
    <row r="824" spans="3:16">
      <c r="C824" s="548">
        <f>IF(D790="","-",+C823+1)</f>
        <v>2045</v>
      </c>
      <c r="D824" s="506">
        <f t="shared" si="77"/>
        <v>7795731.2838888755</v>
      </c>
      <c r="E824" s="549">
        <f t="shared" si="78"/>
        <v>899507.45583333331</v>
      </c>
      <c r="F824" s="549">
        <f t="shared" si="71"/>
        <v>6896223.828055542</v>
      </c>
      <c r="G824" s="506">
        <f t="shared" si="72"/>
        <v>7345977.5559722092</v>
      </c>
      <c r="H824" s="554">
        <f>+J791*G824+E824</f>
        <v>1709964.1873545416</v>
      </c>
      <c r="I824" s="555">
        <f>+J792*G824+E824</f>
        <v>1709964.1873545416</v>
      </c>
      <c r="J824" s="552">
        <f t="shared" si="73"/>
        <v>0</v>
      </c>
      <c r="K824" s="552"/>
      <c r="L824" s="572"/>
      <c r="M824" s="552">
        <f t="shared" si="74"/>
        <v>0</v>
      </c>
      <c r="N824" s="572"/>
      <c r="O824" s="552">
        <f t="shared" si="75"/>
        <v>0</v>
      </c>
      <c r="P824" s="552">
        <f t="shared" si="76"/>
        <v>0</v>
      </c>
    </row>
    <row r="825" spans="3:16">
      <c r="C825" s="548">
        <f>IF(D790="","-",+C824+1)</f>
        <v>2046</v>
      </c>
      <c r="D825" s="506">
        <f t="shared" si="77"/>
        <v>6896223.828055542</v>
      </c>
      <c r="E825" s="549">
        <f t="shared" si="78"/>
        <v>899507.45583333331</v>
      </c>
      <c r="F825" s="549">
        <f t="shared" si="71"/>
        <v>5996716.3722222084</v>
      </c>
      <c r="G825" s="506">
        <f t="shared" si="72"/>
        <v>6446470.1001388747</v>
      </c>
      <c r="H825" s="554">
        <f>+J791*G825+E825</f>
        <v>1610724.587576434</v>
      </c>
      <c r="I825" s="555">
        <f>+J792*G825+E825</f>
        <v>1610724.587576434</v>
      </c>
      <c r="J825" s="552">
        <f t="shared" si="73"/>
        <v>0</v>
      </c>
      <c r="K825" s="552"/>
      <c r="L825" s="572"/>
      <c r="M825" s="552">
        <f t="shared" si="74"/>
        <v>0</v>
      </c>
      <c r="N825" s="572"/>
      <c r="O825" s="552">
        <f t="shared" si="75"/>
        <v>0</v>
      </c>
      <c r="P825" s="552">
        <f t="shared" si="76"/>
        <v>0</v>
      </c>
    </row>
    <row r="826" spans="3:16">
      <c r="C826" s="548">
        <f>IF(D790="","-",+C825+1)</f>
        <v>2047</v>
      </c>
      <c r="D826" s="506">
        <f t="shared" si="77"/>
        <v>5996716.3722222084</v>
      </c>
      <c r="E826" s="549">
        <f t="shared" si="78"/>
        <v>899507.45583333331</v>
      </c>
      <c r="F826" s="549">
        <f t="shared" si="71"/>
        <v>5097208.9163888749</v>
      </c>
      <c r="G826" s="506">
        <f t="shared" si="72"/>
        <v>5546962.6443055421</v>
      </c>
      <c r="H826" s="554">
        <f>+J791*G826+E826</f>
        <v>1511484.9877983269</v>
      </c>
      <c r="I826" s="555">
        <f>+J792*G826+E826</f>
        <v>1511484.9877983269</v>
      </c>
      <c r="J826" s="552">
        <f t="shared" si="73"/>
        <v>0</v>
      </c>
      <c r="K826" s="552"/>
      <c r="L826" s="572"/>
      <c r="M826" s="552">
        <f t="shared" si="74"/>
        <v>0</v>
      </c>
      <c r="N826" s="572"/>
      <c r="O826" s="552">
        <f t="shared" si="75"/>
        <v>0</v>
      </c>
      <c r="P826" s="552">
        <f t="shared" si="76"/>
        <v>0</v>
      </c>
    </row>
    <row r="827" spans="3:16">
      <c r="C827" s="548">
        <f>IF(D790="","-",+C826+1)</f>
        <v>2048</v>
      </c>
      <c r="D827" s="506">
        <f t="shared" si="77"/>
        <v>5097208.9163888749</v>
      </c>
      <c r="E827" s="549">
        <f t="shared" si="78"/>
        <v>899507.45583333331</v>
      </c>
      <c r="F827" s="549">
        <f t="shared" si="71"/>
        <v>4197701.4605555413</v>
      </c>
      <c r="G827" s="506">
        <f t="shared" si="72"/>
        <v>4647455.1884722076</v>
      </c>
      <c r="H827" s="554">
        <f>+J791*G827+E827</f>
        <v>1412245.3880202195</v>
      </c>
      <c r="I827" s="555">
        <f>+J792*G827+E827</f>
        <v>1412245.3880202195</v>
      </c>
      <c r="J827" s="552">
        <f t="shared" si="73"/>
        <v>0</v>
      </c>
      <c r="K827" s="552"/>
      <c r="L827" s="572"/>
      <c r="M827" s="552">
        <f t="shared" si="74"/>
        <v>0</v>
      </c>
      <c r="N827" s="572"/>
      <c r="O827" s="552">
        <f t="shared" si="75"/>
        <v>0</v>
      </c>
      <c r="P827" s="552">
        <f t="shared" si="76"/>
        <v>0</v>
      </c>
    </row>
    <row r="828" spans="3:16">
      <c r="C828" s="548">
        <f>IF(D790="","-",+C827+1)</f>
        <v>2049</v>
      </c>
      <c r="D828" s="506">
        <f t="shared" si="77"/>
        <v>4197701.4605555413</v>
      </c>
      <c r="E828" s="549">
        <f t="shared" si="78"/>
        <v>899507.45583333331</v>
      </c>
      <c r="F828" s="549">
        <f t="shared" si="71"/>
        <v>3298194.0047222078</v>
      </c>
      <c r="G828" s="506">
        <f t="shared" si="72"/>
        <v>3747947.7326388746</v>
      </c>
      <c r="H828" s="554">
        <f>+J791*G828+E828</f>
        <v>1313005.7882421121</v>
      </c>
      <c r="I828" s="555">
        <f>+J792*G828+E828</f>
        <v>1313005.7882421121</v>
      </c>
      <c r="J828" s="552">
        <f t="shared" si="73"/>
        <v>0</v>
      </c>
      <c r="K828" s="552"/>
      <c r="L828" s="572"/>
      <c r="M828" s="552">
        <f t="shared" si="74"/>
        <v>0</v>
      </c>
      <c r="N828" s="572"/>
      <c r="O828" s="552">
        <f t="shared" si="75"/>
        <v>0</v>
      </c>
      <c r="P828" s="552">
        <f t="shared" si="76"/>
        <v>0</v>
      </c>
    </row>
    <row r="829" spans="3:16">
      <c r="C829" s="548">
        <f>IF(D790="","-",+C828+1)</f>
        <v>2050</v>
      </c>
      <c r="D829" s="506">
        <f t="shared" si="77"/>
        <v>3298194.0047222078</v>
      </c>
      <c r="E829" s="549">
        <f t="shared" si="78"/>
        <v>899507.45583333331</v>
      </c>
      <c r="F829" s="549">
        <f t="shared" si="71"/>
        <v>2398686.5488888742</v>
      </c>
      <c r="G829" s="506">
        <f t="shared" si="72"/>
        <v>2848440.276805541</v>
      </c>
      <c r="H829" s="554">
        <f>+J791*G829+E829</f>
        <v>1213766.188464005</v>
      </c>
      <c r="I829" s="555">
        <f>+J792*G829+E829</f>
        <v>1213766.188464005</v>
      </c>
      <c r="J829" s="552">
        <f t="shared" si="73"/>
        <v>0</v>
      </c>
      <c r="K829" s="552"/>
      <c r="L829" s="572"/>
      <c r="M829" s="552">
        <f t="shared" si="74"/>
        <v>0</v>
      </c>
      <c r="N829" s="572"/>
      <c r="O829" s="552">
        <f t="shared" si="75"/>
        <v>0</v>
      </c>
      <c r="P829" s="552">
        <f t="shared" si="76"/>
        <v>0</v>
      </c>
    </row>
    <row r="830" spans="3:16">
      <c r="C830" s="548">
        <f>IF(D790="","-",+C829+1)</f>
        <v>2051</v>
      </c>
      <c r="D830" s="506">
        <f t="shared" si="77"/>
        <v>2398686.5488888742</v>
      </c>
      <c r="E830" s="549">
        <f t="shared" si="78"/>
        <v>899507.45583333331</v>
      </c>
      <c r="F830" s="549">
        <f t="shared" si="71"/>
        <v>1499179.0930555409</v>
      </c>
      <c r="G830" s="506">
        <f t="shared" si="72"/>
        <v>1948932.8209722075</v>
      </c>
      <c r="H830" s="554">
        <f>+J791*G830+E830</f>
        <v>1114526.5886858976</v>
      </c>
      <c r="I830" s="555">
        <f>+J792*G830+E830</f>
        <v>1114526.5886858976</v>
      </c>
      <c r="J830" s="552">
        <f t="shared" si="73"/>
        <v>0</v>
      </c>
      <c r="K830" s="552"/>
      <c r="L830" s="572"/>
      <c r="M830" s="552">
        <f t="shared" si="74"/>
        <v>0</v>
      </c>
      <c r="N830" s="572"/>
      <c r="O830" s="552">
        <f t="shared" si="75"/>
        <v>0</v>
      </c>
      <c r="P830" s="552">
        <f t="shared" si="76"/>
        <v>0</v>
      </c>
    </row>
    <row r="831" spans="3:16">
      <c r="C831" s="548">
        <f>IF(D790="","-",+C830+1)</f>
        <v>2052</v>
      </c>
      <c r="D831" s="506">
        <f t="shared" si="77"/>
        <v>1499179.0930555409</v>
      </c>
      <c r="E831" s="549">
        <f t="shared" si="78"/>
        <v>899507.45583333331</v>
      </c>
      <c r="F831" s="549">
        <f t="shared" si="71"/>
        <v>599671.63722220762</v>
      </c>
      <c r="G831" s="506">
        <f t="shared" si="72"/>
        <v>1049425.3651388744</v>
      </c>
      <c r="H831" s="554">
        <f>+J791*G831+E831</f>
        <v>1015286.9889077903</v>
      </c>
      <c r="I831" s="555">
        <f>+J792*G831+E831</f>
        <v>1015286.9889077903</v>
      </c>
      <c r="J831" s="552">
        <f t="shared" si="73"/>
        <v>0</v>
      </c>
      <c r="K831" s="552"/>
      <c r="L831" s="572"/>
      <c r="M831" s="552">
        <f t="shared" si="74"/>
        <v>0</v>
      </c>
      <c r="N831" s="572"/>
      <c r="O831" s="552">
        <f t="shared" si="75"/>
        <v>0</v>
      </c>
      <c r="P831" s="552">
        <f t="shared" si="76"/>
        <v>0</v>
      </c>
    </row>
    <row r="832" spans="3:16">
      <c r="C832" s="548">
        <f>IF(D790="","-",+C831+1)</f>
        <v>2053</v>
      </c>
      <c r="D832" s="506">
        <f t="shared" si="77"/>
        <v>599671.63722220762</v>
      </c>
      <c r="E832" s="549">
        <f t="shared" si="78"/>
        <v>599671.63722220762</v>
      </c>
      <c r="F832" s="549">
        <f t="shared" si="71"/>
        <v>0</v>
      </c>
      <c r="G832" s="506">
        <f t="shared" si="72"/>
        <v>299835.81861110381</v>
      </c>
      <c r="H832" s="554">
        <f>+J791*G832+E832</f>
        <v>632751.50381490926</v>
      </c>
      <c r="I832" s="555">
        <f>+J792*G832+E832</f>
        <v>632751.50381490926</v>
      </c>
      <c r="J832" s="552">
        <f t="shared" si="73"/>
        <v>0</v>
      </c>
      <c r="K832" s="552"/>
      <c r="L832" s="572"/>
      <c r="M832" s="552">
        <f t="shared" si="74"/>
        <v>0</v>
      </c>
      <c r="N832" s="572"/>
      <c r="O832" s="552">
        <f t="shared" si="75"/>
        <v>0</v>
      </c>
      <c r="P832" s="552">
        <f t="shared" si="76"/>
        <v>0</v>
      </c>
    </row>
    <row r="833" spans="3:16">
      <c r="C833" s="548">
        <f>IF(D790="","-",+C832+1)</f>
        <v>2054</v>
      </c>
      <c r="D833" s="506">
        <f t="shared" si="77"/>
        <v>0</v>
      </c>
      <c r="E833" s="549">
        <f t="shared" si="78"/>
        <v>0</v>
      </c>
      <c r="F833" s="549">
        <f t="shared" si="71"/>
        <v>0</v>
      </c>
      <c r="G833" s="506">
        <f t="shared" si="72"/>
        <v>0</v>
      </c>
      <c r="H833" s="554">
        <f>+J791*G833+E833</f>
        <v>0</v>
      </c>
      <c r="I833" s="555">
        <f>+J792*G833+E833</f>
        <v>0</v>
      </c>
      <c r="J833" s="552">
        <f t="shared" si="73"/>
        <v>0</v>
      </c>
      <c r="K833" s="552"/>
      <c r="L833" s="572"/>
      <c r="M833" s="552">
        <f t="shared" si="74"/>
        <v>0</v>
      </c>
      <c r="N833" s="572"/>
      <c r="O833" s="552">
        <f t="shared" si="75"/>
        <v>0</v>
      </c>
      <c r="P833" s="552">
        <f t="shared" si="76"/>
        <v>0</v>
      </c>
    </row>
    <row r="834" spans="3:16">
      <c r="C834" s="548">
        <f>IF(D790="","-",+C833+1)</f>
        <v>2055</v>
      </c>
      <c r="D834" s="506">
        <f t="shared" si="77"/>
        <v>0</v>
      </c>
      <c r="E834" s="549">
        <f t="shared" si="78"/>
        <v>0</v>
      </c>
      <c r="F834" s="549">
        <f t="shared" si="71"/>
        <v>0</v>
      </c>
      <c r="G834" s="506">
        <f t="shared" si="72"/>
        <v>0</v>
      </c>
      <c r="H834" s="554">
        <f>+J791*G834+E834</f>
        <v>0</v>
      </c>
      <c r="I834" s="555">
        <f>+J792*G834+E834</f>
        <v>0</v>
      </c>
      <c r="J834" s="552">
        <f t="shared" si="73"/>
        <v>0</v>
      </c>
      <c r="K834" s="552"/>
      <c r="L834" s="572"/>
      <c r="M834" s="552">
        <f t="shared" si="74"/>
        <v>0</v>
      </c>
      <c r="N834" s="572"/>
      <c r="O834" s="552">
        <f t="shared" si="75"/>
        <v>0</v>
      </c>
      <c r="P834" s="552">
        <f t="shared" si="76"/>
        <v>0</v>
      </c>
    </row>
    <row r="835" spans="3:16">
      <c r="C835" s="548">
        <f>IF(D790="","-",+C834+1)</f>
        <v>2056</v>
      </c>
      <c r="D835" s="506">
        <f t="shared" si="77"/>
        <v>0</v>
      </c>
      <c r="E835" s="549">
        <f t="shared" si="78"/>
        <v>0</v>
      </c>
      <c r="F835" s="549">
        <f t="shared" si="71"/>
        <v>0</v>
      </c>
      <c r="G835" s="506">
        <f t="shared" si="72"/>
        <v>0</v>
      </c>
      <c r="H835" s="554">
        <f>+J791*G835+E835</f>
        <v>0</v>
      </c>
      <c r="I835" s="555">
        <f>+J792*G835+E835</f>
        <v>0</v>
      </c>
      <c r="J835" s="552">
        <f t="shared" si="73"/>
        <v>0</v>
      </c>
      <c r="K835" s="552"/>
      <c r="L835" s="572"/>
      <c r="M835" s="552">
        <f t="shared" si="74"/>
        <v>0</v>
      </c>
      <c r="N835" s="572"/>
      <c r="O835" s="552">
        <f t="shared" si="75"/>
        <v>0</v>
      </c>
      <c r="P835" s="552">
        <f t="shared" si="76"/>
        <v>0</v>
      </c>
    </row>
    <row r="836" spans="3:16">
      <c r="C836" s="548">
        <f>IF(D790="","-",+C835+1)</f>
        <v>2057</v>
      </c>
      <c r="D836" s="506">
        <f t="shared" si="77"/>
        <v>0</v>
      </c>
      <c r="E836" s="549">
        <f t="shared" si="78"/>
        <v>0</v>
      </c>
      <c r="F836" s="549">
        <f t="shared" si="71"/>
        <v>0</v>
      </c>
      <c r="G836" s="506">
        <f t="shared" si="72"/>
        <v>0</v>
      </c>
      <c r="H836" s="554">
        <f>+J791*G836+E836</f>
        <v>0</v>
      </c>
      <c r="I836" s="555">
        <f>+J792*G836+E836</f>
        <v>0</v>
      </c>
      <c r="J836" s="552">
        <f t="shared" si="73"/>
        <v>0</v>
      </c>
      <c r="K836" s="552"/>
      <c r="L836" s="572"/>
      <c r="M836" s="552">
        <f t="shared" si="74"/>
        <v>0</v>
      </c>
      <c r="N836" s="572"/>
      <c r="O836" s="552">
        <f t="shared" si="75"/>
        <v>0</v>
      </c>
      <c r="P836" s="552">
        <f t="shared" si="76"/>
        <v>0</v>
      </c>
    </row>
    <row r="837" spans="3:16">
      <c r="C837" s="548">
        <f>IF(D790="","-",+C836+1)</f>
        <v>2058</v>
      </c>
      <c r="D837" s="506">
        <f t="shared" si="77"/>
        <v>0</v>
      </c>
      <c r="E837" s="549">
        <f t="shared" si="78"/>
        <v>0</v>
      </c>
      <c r="F837" s="549">
        <f t="shared" si="71"/>
        <v>0</v>
      </c>
      <c r="G837" s="506">
        <f t="shared" si="72"/>
        <v>0</v>
      </c>
      <c r="H837" s="554">
        <f>+J791*G837+E837</f>
        <v>0</v>
      </c>
      <c r="I837" s="555">
        <f>+J792*G837+E837</f>
        <v>0</v>
      </c>
      <c r="J837" s="552">
        <f t="shared" si="73"/>
        <v>0</v>
      </c>
      <c r="K837" s="552"/>
      <c r="L837" s="572"/>
      <c r="M837" s="552">
        <f t="shared" si="74"/>
        <v>0</v>
      </c>
      <c r="N837" s="572"/>
      <c r="O837" s="552">
        <f t="shared" si="75"/>
        <v>0</v>
      </c>
      <c r="P837" s="552">
        <f t="shared" si="76"/>
        <v>0</v>
      </c>
    </row>
    <row r="838" spans="3:16">
      <c r="C838" s="548">
        <f>IF(D790="","-",+C837+1)</f>
        <v>2059</v>
      </c>
      <c r="D838" s="506">
        <f t="shared" si="77"/>
        <v>0</v>
      </c>
      <c r="E838" s="549">
        <f t="shared" si="78"/>
        <v>0</v>
      </c>
      <c r="F838" s="549">
        <f t="shared" si="71"/>
        <v>0</v>
      </c>
      <c r="G838" s="506">
        <f t="shared" si="72"/>
        <v>0</v>
      </c>
      <c r="H838" s="554">
        <f>+J791*G838+E838</f>
        <v>0</v>
      </c>
      <c r="I838" s="555">
        <f>+J792*G838+E838</f>
        <v>0</v>
      </c>
      <c r="J838" s="552">
        <f t="shared" si="73"/>
        <v>0</v>
      </c>
      <c r="K838" s="552"/>
      <c r="L838" s="572"/>
      <c r="M838" s="552">
        <f t="shared" si="74"/>
        <v>0</v>
      </c>
      <c r="N838" s="572"/>
      <c r="O838" s="552">
        <f t="shared" si="75"/>
        <v>0</v>
      </c>
      <c r="P838" s="552">
        <f t="shared" si="76"/>
        <v>0</v>
      </c>
    </row>
    <row r="839" spans="3:16">
      <c r="C839" s="548">
        <f>IF(D790="","-",+C838+1)</f>
        <v>2060</v>
      </c>
      <c r="D839" s="506">
        <f t="shared" si="77"/>
        <v>0</v>
      </c>
      <c r="E839" s="549">
        <f t="shared" si="78"/>
        <v>0</v>
      </c>
      <c r="F839" s="549">
        <f t="shared" si="71"/>
        <v>0</v>
      </c>
      <c r="G839" s="506">
        <f t="shared" si="72"/>
        <v>0</v>
      </c>
      <c r="H839" s="554">
        <f>+J791*G839+E839</f>
        <v>0</v>
      </c>
      <c r="I839" s="555">
        <f>+J792*G839+E839</f>
        <v>0</v>
      </c>
      <c r="J839" s="552">
        <f t="shared" si="73"/>
        <v>0</v>
      </c>
      <c r="K839" s="552"/>
      <c r="L839" s="572"/>
      <c r="M839" s="552">
        <f t="shared" si="74"/>
        <v>0</v>
      </c>
      <c r="N839" s="572"/>
      <c r="O839" s="552">
        <f t="shared" si="75"/>
        <v>0</v>
      </c>
      <c r="P839" s="552">
        <f t="shared" si="76"/>
        <v>0</v>
      </c>
    </row>
    <row r="840" spans="3:16">
      <c r="C840" s="548">
        <f>IF(D790="","-",+C839+1)</f>
        <v>2061</v>
      </c>
      <c r="D840" s="506">
        <f t="shared" si="77"/>
        <v>0</v>
      </c>
      <c r="E840" s="549">
        <f t="shared" si="78"/>
        <v>0</v>
      </c>
      <c r="F840" s="549">
        <f t="shared" si="71"/>
        <v>0</v>
      </c>
      <c r="G840" s="506">
        <f t="shared" si="72"/>
        <v>0</v>
      </c>
      <c r="H840" s="554">
        <f>+J791*G840+E840</f>
        <v>0</v>
      </c>
      <c r="I840" s="555">
        <f>+J792*G840+E840</f>
        <v>0</v>
      </c>
      <c r="J840" s="552">
        <f t="shared" si="73"/>
        <v>0</v>
      </c>
      <c r="K840" s="552"/>
      <c r="L840" s="572"/>
      <c r="M840" s="552">
        <f t="shared" si="74"/>
        <v>0</v>
      </c>
      <c r="N840" s="572"/>
      <c r="O840" s="552">
        <f t="shared" si="75"/>
        <v>0</v>
      </c>
      <c r="P840" s="552">
        <f t="shared" si="76"/>
        <v>0</v>
      </c>
    </row>
    <row r="841" spans="3:16">
      <c r="C841" s="548">
        <f>IF(D790="","-",+C840+1)</f>
        <v>2062</v>
      </c>
      <c r="D841" s="506">
        <f t="shared" si="77"/>
        <v>0</v>
      </c>
      <c r="E841" s="549">
        <f t="shared" si="78"/>
        <v>0</v>
      </c>
      <c r="F841" s="549">
        <f t="shared" si="71"/>
        <v>0</v>
      </c>
      <c r="G841" s="506">
        <f t="shared" si="72"/>
        <v>0</v>
      </c>
      <c r="H841" s="554">
        <f>+J791*G841+E841</f>
        <v>0</v>
      </c>
      <c r="I841" s="555">
        <f>+J792*G841+E841</f>
        <v>0</v>
      </c>
      <c r="J841" s="552">
        <f t="shared" si="73"/>
        <v>0</v>
      </c>
      <c r="K841" s="552"/>
      <c r="L841" s="572"/>
      <c r="M841" s="552">
        <f t="shared" si="74"/>
        <v>0</v>
      </c>
      <c r="N841" s="572"/>
      <c r="O841" s="552">
        <f t="shared" si="75"/>
        <v>0</v>
      </c>
      <c r="P841" s="552">
        <f t="shared" si="76"/>
        <v>0</v>
      </c>
    </row>
    <row r="842" spans="3:16">
      <c r="C842" s="548">
        <f>IF(D790="","-",+C841+1)</f>
        <v>2063</v>
      </c>
      <c r="D842" s="506">
        <f t="shared" si="77"/>
        <v>0</v>
      </c>
      <c r="E842" s="549">
        <f t="shared" si="78"/>
        <v>0</v>
      </c>
      <c r="F842" s="549">
        <f t="shared" si="71"/>
        <v>0</v>
      </c>
      <c r="G842" s="506">
        <f t="shared" si="72"/>
        <v>0</v>
      </c>
      <c r="H842" s="554">
        <f>+J791*G842+E842</f>
        <v>0</v>
      </c>
      <c r="I842" s="555">
        <f>+J792*G842+E842</f>
        <v>0</v>
      </c>
      <c r="J842" s="552">
        <f t="shared" si="73"/>
        <v>0</v>
      </c>
      <c r="K842" s="552"/>
      <c r="L842" s="572"/>
      <c r="M842" s="552">
        <f t="shared" si="74"/>
        <v>0</v>
      </c>
      <c r="N842" s="572"/>
      <c r="O842" s="552">
        <f t="shared" si="75"/>
        <v>0</v>
      </c>
      <c r="P842" s="552">
        <f t="shared" si="76"/>
        <v>0</v>
      </c>
    </row>
    <row r="843" spans="3:16">
      <c r="C843" s="548">
        <f>IF(D790="","-",+C842+1)</f>
        <v>2064</v>
      </c>
      <c r="D843" s="506">
        <f t="shared" si="77"/>
        <v>0</v>
      </c>
      <c r="E843" s="549">
        <f t="shared" si="78"/>
        <v>0</v>
      </c>
      <c r="F843" s="549">
        <f t="shared" si="71"/>
        <v>0</v>
      </c>
      <c r="G843" s="506">
        <f t="shared" si="72"/>
        <v>0</v>
      </c>
      <c r="H843" s="554">
        <f>+J791*G843+E843</f>
        <v>0</v>
      </c>
      <c r="I843" s="555">
        <f>+J792*G843+E843</f>
        <v>0</v>
      </c>
      <c r="J843" s="552">
        <f t="shared" si="73"/>
        <v>0</v>
      </c>
      <c r="K843" s="552"/>
      <c r="L843" s="572"/>
      <c r="M843" s="552">
        <f t="shared" si="74"/>
        <v>0</v>
      </c>
      <c r="N843" s="572"/>
      <c r="O843" s="552">
        <f t="shared" si="75"/>
        <v>0</v>
      </c>
      <c r="P843" s="552">
        <f t="shared" si="76"/>
        <v>0</v>
      </c>
    </row>
    <row r="844" spans="3:16">
      <c r="C844" s="548">
        <f>IF(D790="","-",+C843+1)</f>
        <v>2065</v>
      </c>
      <c r="D844" s="506">
        <f t="shared" si="77"/>
        <v>0</v>
      </c>
      <c r="E844" s="549">
        <f t="shared" si="78"/>
        <v>0</v>
      </c>
      <c r="F844" s="549">
        <f t="shared" si="71"/>
        <v>0</v>
      </c>
      <c r="G844" s="506">
        <f t="shared" si="72"/>
        <v>0</v>
      </c>
      <c r="H844" s="554">
        <f>+J791*G844+E844</f>
        <v>0</v>
      </c>
      <c r="I844" s="555">
        <f>+J792*G844+E844</f>
        <v>0</v>
      </c>
      <c r="J844" s="552">
        <f t="shared" si="73"/>
        <v>0</v>
      </c>
      <c r="K844" s="552"/>
      <c r="L844" s="572"/>
      <c r="M844" s="552">
        <f t="shared" si="74"/>
        <v>0</v>
      </c>
      <c r="N844" s="572"/>
      <c r="O844" s="552">
        <f t="shared" si="75"/>
        <v>0</v>
      </c>
      <c r="P844" s="552">
        <f t="shared" si="76"/>
        <v>0</v>
      </c>
    </row>
    <row r="845" spans="3:16">
      <c r="C845" s="548">
        <f>IF(D790="","-",+C844+1)</f>
        <v>2066</v>
      </c>
      <c r="D845" s="506">
        <f t="shared" si="77"/>
        <v>0</v>
      </c>
      <c r="E845" s="549">
        <f t="shared" si="78"/>
        <v>0</v>
      </c>
      <c r="F845" s="549">
        <f t="shared" si="71"/>
        <v>0</v>
      </c>
      <c r="G845" s="506">
        <f t="shared" si="72"/>
        <v>0</v>
      </c>
      <c r="H845" s="554">
        <f>+J791*G845+E845</f>
        <v>0</v>
      </c>
      <c r="I845" s="555">
        <f>+J792*G845+E845</f>
        <v>0</v>
      </c>
      <c r="J845" s="552">
        <f t="shared" si="73"/>
        <v>0</v>
      </c>
      <c r="K845" s="552"/>
      <c r="L845" s="572"/>
      <c r="M845" s="552">
        <f t="shared" si="74"/>
        <v>0</v>
      </c>
      <c r="N845" s="572"/>
      <c r="O845" s="552">
        <f t="shared" si="75"/>
        <v>0</v>
      </c>
      <c r="P845" s="552">
        <f t="shared" si="76"/>
        <v>0</v>
      </c>
    </row>
    <row r="846" spans="3:16">
      <c r="C846" s="548">
        <f>IF(D790="","-",+C845+1)</f>
        <v>2067</v>
      </c>
      <c r="D846" s="506">
        <f t="shared" si="77"/>
        <v>0</v>
      </c>
      <c r="E846" s="549">
        <f t="shared" si="78"/>
        <v>0</v>
      </c>
      <c r="F846" s="549">
        <f t="shared" si="71"/>
        <v>0</v>
      </c>
      <c r="G846" s="506">
        <f t="shared" si="72"/>
        <v>0</v>
      </c>
      <c r="H846" s="554">
        <f>+J791*G846+E846</f>
        <v>0</v>
      </c>
      <c r="I846" s="555">
        <f>+J792*G846+E846</f>
        <v>0</v>
      </c>
      <c r="J846" s="552">
        <f t="shared" si="73"/>
        <v>0</v>
      </c>
      <c r="K846" s="552"/>
      <c r="L846" s="572"/>
      <c r="M846" s="552">
        <f t="shared" si="74"/>
        <v>0</v>
      </c>
      <c r="N846" s="572"/>
      <c r="O846" s="552">
        <f t="shared" si="75"/>
        <v>0</v>
      </c>
      <c r="P846" s="552">
        <f t="shared" si="76"/>
        <v>0</v>
      </c>
    </row>
    <row r="847" spans="3:16">
      <c r="C847" s="548">
        <f>IF(D790="","-",+C846+1)</f>
        <v>2068</v>
      </c>
      <c r="D847" s="506">
        <f t="shared" si="77"/>
        <v>0</v>
      </c>
      <c r="E847" s="549">
        <f t="shared" si="78"/>
        <v>0</v>
      </c>
      <c r="F847" s="549">
        <f t="shared" si="71"/>
        <v>0</v>
      </c>
      <c r="G847" s="506">
        <f t="shared" si="72"/>
        <v>0</v>
      </c>
      <c r="H847" s="554">
        <f>+J791*G847+E847</f>
        <v>0</v>
      </c>
      <c r="I847" s="555">
        <f>+J792*G847+E847</f>
        <v>0</v>
      </c>
      <c r="J847" s="552">
        <f t="shared" si="73"/>
        <v>0</v>
      </c>
      <c r="K847" s="552"/>
      <c r="L847" s="572"/>
      <c r="M847" s="552">
        <f t="shared" si="74"/>
        <v>0</v>
      </c>
      <c r="N847" s="572"/>
      <c r="O847" s="552">
        <f t="shared" si="75"/>
        <v>0</v>
      </c>
      <c r="P847" s="552">
        <f t="shared" si="76"/>
        <v>0</v>
      </c>
    </row>
    <row r="848" spans="3:16">
      <c r="C848" s="548">
        <f>IF(D790="","-",+C847+1)</f>
        <v>2069</v>
      </c>
      <c r="D848" s="506">
        <f t="shared" si="77"/>
        <v>0</v>
      </c>
      <c r="E848" s="549">
        <f t="shared" si="78"/>
        <v>0</v>
      </c>
      <c r="F848" s="549">
        <f t="shared" si="71"/>
        <v>0</v>
      </c>
      <c r="G848" s="506">
        <f t="shared" si="72"/>
        <v>0</v>
      </c>
      <c r="H848" s="554">
        <f>+J791*G848+E848</f>
        <v>0</v>
      </c>
      <c r="I848" s="555">
        <f>+J792*G848+E848</f>
        <v>0</v>
      </c>
      <c r="J848" s="552">
        <f t="shared" si="73"/>
        <v>0</v>
      </c>
      <c r="K848" s="552"/>
      <c r="L848" s="572"/>
      <c r="M848" s="552">
        <f t="shared" si="74"/>
        <v>0</v>
      </c>
      <c r="N848" s="572"/>
      <c r="O848" s="552">
        <f t="shared" si="75"/>
        <v>0</v>
      </c>
      <c r="P848" s="552">
        <f t="shared" si="76"/>
        <v>0</v>
      </c>
    </row>
    <row r="849" spans="1:17">
      <c r="C849" s="548">
        <f>IF(D790="","-",+C848+1)</f>
        <v>2070</v>
      </c>
      <c r="D849" s="506">
        <f t="shared" si="77"/>
        <v>0</v>
      </c>
      <c r="E849" s="549">
        <f t="shared" si="78"/>
        <v>0</v>
      </c>
      <c r="F849" s="549">
        <f t="shared" si="71"/>
        <v>0</v>
      </c>
      <c r="G849" s="506">
        <f t="shared" si="72"/>
        <v>0</v>
      </c>
      <c r="H849" s="554">
        <f>+J791*G849+E849</f>
        <v>0</v>
      </c>
      <c r="I849" s="555">
        <f>+J792*G849+E849</f>
        <v>0</v>
      </c>
      <c r="J849" s="552">
        <f t="shared" si="73"/>
        <v>0</v>
      </c>
      <c r="K849" s="552"/>
      <c r="L849" s="572"/>
      <c r="M849" s="552">
        <f t="shared" si="74"/>
        <v>0</v>
      </c>
      <c r="N849" s="572"/>
      <c r="O849" s="552">
        <f t="shared" si="75"/>
        <v>0</v>
      </c>
      <c r="P849" s="552">
        <f t="shared" si="76"/>
        <v>0</v>
      </c>
    </row>
    <row r="850" spans="1:17">
      <c r="C850" s="548">
        <f>IF(D790="","-",+C849+1)</f>
        <v>2071</v>
      </c>
      <c r="D850" s="506">
        <f t="shared" si="77"/>
        <v>0</v>
      </c>
      <c r="E850" s="549">
        <f t="shared" si="78"/>
        <v>0</v>
      </c>
      <c r="F850" s="549">
        <f t="shared" si="71"/>
        <v>0</v>
      </c>
      <c r="G850" s="506">
        <f t="shared" si="72"/>
        <v>0</v>
      </c>
      <c r="H850" s="554">
        <f>+J791*G850+E850</f>
        <v>0</v>
      </c>
      <c r="I850" s="555">
        <f>+J792*G850+E850</f>
        <v>0</v>
      </c>
      <c r="J850" s="552">
        <f t="shared" si="73"/>
        <v>0</v>
      </c>
      <c r="K850" s="552"/>
      <c r="L850" s="572"/>
      <c r="M850" s="552">
        <f t="shared" si="74"/>
        <v>0</v>
      </c>
      <c r="N850" s="572"/>
      <c r="O850" s="552">
        <f t="shared" si="75"/>
        <v>0</v>
      </c>
      <c r="P850" s="552">
        <f t="shared" si="76"/>
        <v>0</v>
      </c>
    </row>
    <row r="851" spans="1:17">
      <c r="C851" s="548">
        <f>IF(D790="","-",+C850+1)</f>
        <v>2072</v>
      </c>
      <c r="D851" s="506">
        <f t="shared" si="77"/>
        <v>0</v>
      </c>
      <c r="E851" s="549">
        <f t="shared" si="78"/>
        <v>0</v>
      </c>
      <c r="F851" s="549">
        <f t="shared" si="71"/>
        <v>0</v>
      </c>
      <c r="G851" s="506">
        <f t="shared" si="72"/>
        <v>0</v>
      </c>
      <c r="H851" s="554">
        <f>+J791*G851+E851</f>
        <v>0</v>
      </c>
      <c r="I851" s="555">
        <f>+J792*G851+E851</f>
        <v>0</v>
      </c>
      <c r="J851" s="552">
        <f t="shared" si="73"/>
        <v>0</v>
      </c>
      <c r="K851" s="552"/>
      <c r="L851" s="572"/>
      <c r="M851" s="552">
        <f t="shared" si="74"/>
        <v>0</v>
      </c>
      <c r="N851" s="572"/>
      <c r="O851" s="552">
        <f t="shared" si="75"/>
        <v>0</v>
      </c>
      <c r="P851" s="552">
        <f t="shared" si="76"/>
        <v>0</v>
      </c>
    </row>
    <row r="852" spans="1:17">
      <c r="C852" s="548">
        <f>IF(D790="","-",+C851+1)</f>
        <v>2073</v>
      </c>
      <c r="D852" s="506">
        <f t="shared" si="77"/>
        <v>0</v>
      </c>
      <c r="E852" s="549">
        <f t="shared" si="78"/>
        <v>0</v>
      </c>
      <c r="F852" s="549">
        <f t="shared" si="71"/>
        <v>0</v>
      </c>
      <c r="G852" s="506">
        <f t="shared" si="72"/>
        <v>0</v>
      </c>
      <c r="H852" s="554">
        <f>+J791*G852+E852</f>
        <v>0</v>
      </c>
      <c r="I852" s="555">
        <f>+J792*G852+E852</f>
        <v>0</v>
      </c>
      <c r="J852" s="552">
        <f t="shared" si="73"/>
        <v>0</v>
      </c>
      <c r="K852" s="552"/>
      <c r="L852" s="572"/>
      <c r="M852" s="552">
        <f t="shared" si="74"/>
        <v>0</v>
      </c>
      <c r="N852" s="572"/>
      <c r="O852" s="552">
        <f t="shared" si="75"/>
        <v>0</v>
      </c>
      <c r="P852" s="552">
        <f t="shared" si="76"/>
        <v>0</v>
      </c>
    </row>
    <row r="853" spans="1:17">
      <c r="C853" s="548">
        <f>IF(D790="","-",+C852+1)</f>
        <v>2074</v>
      </c>
      <c r="D853" s="506">
        <f t="shared" si="77"/>
        <v>0</v>
      </c>
      <c r="E853" s="549">
        <f t="shared" si="78"/>
        <v>0</v>
      </c>
      <c r="F853" s="549">
        <f t="shared" si="71"/>
        <v>0</v>
      </c>
      <c r="G853" s="506">
        <f t="shared" si="72"/>
        <v>0</v>
      </c>
      <c r="H853" s="554">
        <f>+J791*G853+E853</f>
        <v>0</v>
      </c>
      <c r="I853" s="555">
        <f>+J792*G853+E853</f>
        <v>0</v>
      </c>
      <c r="J853" s="552">
        <f t="shared" si="73"/>
        <v>0</v>
      </c>
      <c r="K853" s="552"/>
      <c r="L853" s="572"/>
      <c r="M853" s="552">
        <f t="shared" si="74"/>
        <v>0</v>
      </c>
      <c r="N853" s="572"/>
      <c r="O853" s="552">
        <f t="shared" si="75"/>
        <v>0</v>
      </c>
      <c r="P853" s="552">
        <f t="shared" si="76"/>
        <v>0</v>
      </c>
    </row>
    <row r="854" spans="1:17">
      <c r="C854" s="548">
        <f>IF(D790="","-",+C853+1)</f>
        <v>2075</v>
      </c>
      <c r="D854" s="506">
        <f t="shared" si="77"/>
        <v>0</v>
      </c>
      <c r="E854" s="549">
        <f t="shared" si="78"/>
        <v>0</v>
      </c>
      <c r="F854" s="549">
        <f t="shared" si="71"/>
        <v>0</v>
      </c>
      <c r="G854" s="506">
        <f t="shared" si="72"/>
        <v>0</v>
      </c>
      <c r="H854" s="554">
        <f>+J791*G854+E854</f>
        <v>0</v>
      </c>
      <c r="I854" s="555">
        <f>+J792*G854+E854</f>
        <v>0</v>
      </c>
      <c r="J854" s="552">
        <f t="shared" si="73"/>
        <v>0</v>
      </c>
      <c r="K854" s="552"/>
      <c r="L854" s="572"/>
      <c r="M854" s="552">
        <f t="shared" si="74"/>
        <v>0</v>
      </c>
      <c r="N854" s="572"/>
      <c r="O854" s="552">
        <f t="shared" si="75"/>
        <v>0</v>
      </c>
      <c r="P854" s="552">
        <f t="shared" si="76"/>
        <v>0</v>
      </c>
    </row>
    <row r="855" spans="1:17" ht="13.5" thickBot="1">
      <c r="C855" s="558">
        <f>IF(D790="","-",+C854+1)</f>
        <v>2076</v>
      </c>
      <c r="D855" s="559">
        <f t="shared" si="77"/>
        <v>0</v>
      </c>
      <c r="E855" s="560">
        <f t="shared" si="78"/>
        <v>0</v>
      </c>
      <c r="F855" s="560">
        <f t="shared" si="71"/>
        <v>0</v>
      </c>
      <c r="G855" s="559">
        <f t="shared" si="72"/>
        <v>0</v>
      </c>
      <c r="H855" s="561">
        <f>+J791*G855+E855</f>
        <v>0</v>
      </c>
      <c r="I855" s="561">
        <f>+J792*G855+E855</f>
        <v>0</v>
      </c>
      <c r="J855" s="562">
        <f t="shared" si="73"/>
        <v>0</v>
      </c>
      <c r="K855" s="552"/>
      <c r="L855" s="573"/>
      <c r="M855" s="562">
        <f t="shared" si="74"/>
        <v>0</v>
      </c>
      <c r="N855" s="573"/>
      <c r="O855" s="562">
        <f t="shared" si="75"/>
        <v>0</v>
      </c>
      <c r="P855" s="562">
        <f t="shared" si="76"/>
        <v>0</v>
      </c>
    </row>
    <row r="856" spans="1:17">
      <c r="C856" s="506" t="s">
        <v>91</v>
      </c>
      <c r="D856" s="503"/>
      <c r="E856" s="503">
        <f>SUM(E796:E855)</f>
        <v>32382268.41</v>
      </c>
      <c r="F856" s="503"/>
      <c r="G856" s="503"/>
      <c r="H856" s="503">
        <f>SUM(H796:H855)</f>
        <v>99071279.460888028</v>
      </c>
      <c r="I856" s="503">
        <f>SUM(I796:I855)</f>
        <v>99071279.460888028</v>
      </c>
      <c r="J856" s="503">
        <f>SUM(J796:J855)</f>
        <v>0</v>
      </c>
      <c r="K856" s="503"/>
      <c r="L856" s="503"/>
      <c r="M856" s="503"/>
      <c r="N856" s="503"/>
      <c r="O856" s="503"/>
    </row>
    <row r="857" spans="1:17">
      <c r="D857" s="47"/>
      <c r="E857" s="3"/>
      <c r="F857" s="3"/>
      <c r="G857" s="3"/>
      <c r="H857" s="3"/>
      <c r="I857" s="490"/>
      <c r="J857" s="490"/>
      <c r="K857" s="503"/>
      <c r="L857" s="490"/>
      <c r="M857" s="490"/>
      <c r="N857" s="490"/>
      <c r="O857" s="490"/>
    </row>
    <row r="858" spans="1:17">
      <c r="C858" s="3" t="s">
        <v>13</v>
      </c>
      <c r="D858" s="47"/>
      <c r="E858" s="3"/>
      <c r="F858" s="3"/>
      <c r="G858" s="3"/>
      <c r="H858" s="3"/>
      <c r="I858" s="490"/>
      <c r="J858" s="490"/>
      <c r="K858" s="503"/>
      <c r="L858" s="490"/>
      <c r="M858" s="490"/>
      <c r="N858" s="490"/>
      <c r="O858" s="490"/>
    </row>
    <row r="859" spans="1:17">
      <c r="C859" s="3"/>
      <c r="D859" s="47"/>
      <c r="E859" s="3"/>
      <c r="F859" s="3"/>
      <c r="G859" s="3"/>
      <c r="H859" s="3"/>
      <c r="I859" s="490"/>
      <c r="J859" s="490"/>
      <c r="K859" s="503"/>
      <c r="L859" s="490"/>
      <c r="M859" s="490"/>
      <c r="N859" s="490"/>
      <c r="O859" s="490"/>
    </row>
    <row r="860" spans="1:17">
      <c r="C860" s="518" t="s">
        <v>14</v>
      </c>
      <c r="D860" s="506"/>
      <c r="E860" s="506"/>
      <c r="F860" s="506"/>
      <c r="G860" s="506"/>
      <c r="H860" s="503"/>
      <c r="I860" s="503"/>
      <c r="J860" s="564"/>
      <c r="K860" s="564"/>
      <c r="L860" s="564"/>
      <c r="M860" s="564"/>
      <c r="N860" s="564"/>
      <c r="O860" s="564"/>
    </row>
    <row r="861" spans="1:17">
      <c r="C861" s="507" t="s">
        <v>271</v>
      </c>
      <c r="D861" s="506"/>
      <c r="E861" s="506"/>
      <c r="F861" s="506"/>
      <c r="G861" s="506"/>
      <c r="H861" s="503"/>
      <c r="I861" s="503"/>
      <c r="J861" s="564"/>
      <c r="K861" s="564"/>
      <c r="L861" s="564"/>
      <c r="M861" s="564"/>
      <c r="N861" s="564"/>
      <c r="O861" s="564"/>
    </row>
    <row r="862" spans="1:17">
      <c r="C862" s="507" t="s">
        <v>92</v>
      </c>
      <c r="D862" s="506"/>
      <c r="E862" s="506"/>
      <c r="F862" s="506"/>
      <c r="G862" s="506"/>
      <c r="H862" s="503"/>
      <c r="I862" s="503"/>
      <c r="J862" s="564"/>
      <c r="K862" s="564"/>
      <c r="L862" s="564"/>
      <c r="M862" s="564"/>
      <c r="N862" s="564"/>
      <c r="O862" s="564"/>
    </row>
    <row r="863" spans="1:17">
      <c r="C863" s="507"/>
      <c r="D863" s="506"/>
      <c r="E863" s="506"/>
      <c r="F863" s="506"/>
      <c r="G863" s="506"/>
      <c r="H863" s="503"/>
      <c r="I863" s="503"/>
      <c r="J863" s="564"/>
      <c r="K863" s="564"/>
      <c r="L863" s="564"/>
      <c r="M863" s="564"/>
      <c r="N863" s="564"/>
      <c r="O863" s="564"/>
    </row>
    <row r="864" spans="1:17" ht="20.25">
      <c r="A864" s="447" t="str">
        <f>""&amp;A783&amp;" Worksheet K -  ATRR TRUE-UP Calculation for PJM Projects Charged to Benefiting Zones"</f>
        <v xml:space="preserve"> Worksheet K -  ATRR TRUE-UP Calculation for PJM Projects Charged to Benefiting Zones</v>
      </c>
      <c r="B864" s="3"/>
      <c r="C864" s="3"/>
      <c r="D864" s="47"/>
      <c r="E864" s="3"/>
      <c r="F864" s="489"/>
      <c r="G864" s="489"/>
      <c r="H864" s="3"/>
      <c r="I864" s="490"/>
      <c r="L864" s="398"/>
      <c r="M864" s="398"/>
      <c r="N864" s="398"/>
      <c r="O864" s="398" t="str">
        <f>"Page "&amp;SUM(Q$8:Q864)&amp;" of "</f>
        <v xml:space="preserve">Page 10 of </v>
      </c>
      <c r="P864" s="448">
        <f>COUNT(Q$8:Q$56657)</f>
        <v>10</v>
      </c>
      <c r="Q864">
        <v>1</v>
      </c>
    </row>
    <row r="865" spans="1:15">
      <c r="B865" s="3"/>
      <c r="C865" s="3"/>
      <c r="D865" s="47"/>
      <c r="E865" s="3"/>
      <c r="F865" s="3"/>
      <c r="G865" s="3"/>
      <c r="H865" s="3"/>
      <c r="I865" s="490"/>
      <c r="J865" s="3"/>
      <c r="K865" s="3"/>
    </row>
    <row r="866" spans="1:15" ht="18">
      <c r="B866" s="449" t="s">
        <v>472</v>
      </c>
      <c r="C866" s="122" t="s">
        <v>93</v>
      </c>
      <c r="D866" s="47"/>
      <c r="E866" s="3"/>
      <c r="F866" s="3"/>
      <c r="G866" s="3"/>
      <c r="H866" s="3"/>
      <c r="I866" s="490"/>
      <c r="J866" s="490"/>
      <c r="K866" s="503"/>
      <c r="L866" s="490"/>
      <c r="M866" s="490"/>
      <c r="N866" s="490"/>
      <c r="O866" s="490"/>
    </row>
    <row r="867" spans="1:15" ht="18.75">
      <c r="B867" s="449"/>
      <c r="C867" s="6"/>
      <c r="D867" s="47"/>
      <c r="E867" s="3"/>
      <c r="F867" s="3"/>
      <c r="G867" s="3"/>
      <c r="H867" s="3"/>
      <c r="I867" s="490"/>
      <c r="J867" s="490"/>
      <c r="K867" s="503"/>
      <c r="L867" s="490"/>
      <c r="M867" s="490"/>
      <c r="N867" s="490"/>
      <c r="O867" s="490"/>
    </row>
    <row r="868" spans="1:15" ht="18.75">
      <c r="B868" s="449"/>
      <c r="C868" s="6" t="s">
        <v>94</v>
      </c>
      <c r="D868" s="47"/>
      <c r="E868" s="3"/>
      <c r="F868" s="3"/>
      <c r="G868" s="3"/>
      <c r="H868" s="3"/>
      <c r="I868" s="490"/>
      <c r="J868" s="490"/>
      <c r="K868" s="503"/>
      <c r="L868" s="490"/>
      <c r="M868" s="490"/>
      <c r="N868" s="490"/>
      <c r="O868" s="490"/>
    </row>
    <row r="869" spans="1:15" ht="15.75" thickBot="1">
      <c r="C869" s="132"/>
      <c r="D869" s="47"/>
      <c r="E869" s="3"/>
      <c r="F869" s="3"/>
      <c r="G869" s="3"/>
      <c r="H869" s="3"/>
      <c r="I869" s="490"/>
      <c r="J869" s="490"/>
      <c r="K869" s="503"/>
      <c r="L869" s="490"/>
      <c r="M869" s="490"/>
      <c r="N869" s="490"/>
      <c r="O869" s="490"/>
    </row>
    <row r="870" spans="1:15" ht="15.75">
      <c r="C870" s="451" t="s">
        <v>95</v>
      </c>
      <c r="D870" s="47"/>
      <c r="E870" s="3"/>
      <c r="F870" s="3"/>
      <c r="G870" s="3"/>
      <c r="H870" s="566"/>
      <c r="I870" s="3" t="s">
        <v>74</v>
      </c>
      <c r="J870" s="3"/>
      <c r="K870" s="3"/>
      <c r="L870" s="593">
        <f>+J876</f>
        <v>2025</v>
      </c>
      <c r="M870" s="576" t="s">
        <v>52</v>
      </c>
      <c r="N870" s="576" t="s">
        <v>53</v>
      </c>
      <c r="O870" s="577" t="s">
        <v>55</v>
      </c>
    </row>
    <row r="871" spans="1:15" ht="15.75">
      <c r="C871" s="451"/>
      <c r="D871" s="47"/>
      <c r="E871" s="3"/>
      <c r="F871" s="3"/>
      <c r="H871" s="3"/>
      <c r="I871" s="513"/>
      <c r="J871" s="513"/>
      <c r="K871" s="514"/>
      <c r="L871" s="594" t="s">
        <v>243</v>
      </c>
      <c r="M871" s="595">
        <f>VLOOKUP(J876,C883:P942,10)</f>
        <v>960483.40935574681</v>
      </c>
      <c r="N871" s="595">
        <f>VLOOKUP(J876,C883:P942,12)</f>
        <v>960483.40935574681</v>
      </c>
      <c r="O871" s="596">
        <f>+N871-M871</f>
        <v>0</v>
      </c>
    </row>
    <row r="872" spans="1:15">
      <c r="A872" s="978"/>
      <c r="C872" s="518" t="s">
        <v>96</v>
      </c>
      <c r="D872" s="1210" t="s">
        <v>851</v>
      </c>
      <c r="E872" s="1210"/>
      <c r="F872" s="1210"/>
      <c r="G872" s="1210"/>
      <c r="H872" s="1210"/>
      <c r="I872" s="1210"/>
      <c r="J872" s="490"/>
      <c r="K872" s="503"/>
      <c r="L872" s="594" t="s">
        <v>244</v>
      </c>
      <c r="M872" s="597">
        <f>VLOOKUP(J876,C883:P942,6)</f>
        <v>929270.08895821928</v>
      </c>
      <c r="N872" s="597">
        <f>VLOOKUP(J876,C883:P942,7)</f>
        <v>929270.08895821928</v>
      </c>
      <c r="O872" s="598">
        <f>+N872-M872</f>
        <v>0</v>
      </c>
    </row>
    <row r="873" spans="1:15" ht="13.5" thickBot="1">
      <c r="C873" s="522"/>
      <c r="D873" s="1210"/>
      <c r="E873" s="1210"/>
      <c r="F873" s="1210"/>
      <c r="G873" s="1210"/>
      <c r="H873" s="1210"/>
      <c r="I873" s="1210"/>
      <c r="J873" s="490"/>
      <c r="K873" s="503"/>
      <c r="L873" s="533" t="s">
        <v>245</v>
      </c>
      <c r="M873" s="599">
        <f>+M872-M871</f>
        <v>-31213.320397527539</v>
      </c>
      <c r="N873" s="599">
        <f>+N872-N871</f>
        <v>-31213.320397527539</v>
      </c>
      <c r="O873" s="600">
        <f>+O872-O871</f>
        <v>0</v>
      </c>
    </row>
    <row r="874" spans="1:15" ht="13.5" thickBot="1">
      <c r="C874" s="522"/>
      <c r="D874" s="3"/>
      <c r="E874" s="524"/>
      <c r="F874" s="524"/>
      <c r="G874" s="524"/>
      <c r="H874" s="524"/>
      <c r="I874" s="524"/>
      <c r="J874" s="524"/>
      <c r="K874" s="524"/>
      <c r="L874" s="524"/>
      <c r="M874" s="524"/>
      <c r="N874" s="524"/>
      <c r="O874" s="524"/>
    </row>
    <row r="875" spans="1:15" ht="13.5" thickBot="1">
      <c r="C875" s="525" t="s">
        <v>97</v>
      </c>
      <c r="D875" s="526"/>
      <c r="E875" s="526"/>
      <c r="F875" s="526"/>
      <c r="G875" s="526"/>
      <c r="H875" s="526"/>
      <c r="I875" s="526"/>
      <c r="J875" s="526"/>
    </row>
    <row r="876" spans="1:15" ht="15">
      <c r="C876" s="528" t="s">
        <v>75</v>
      </c>
      <c r="D876" s="568">
        <v>8427427.9900000002</v>
      </c>
      <c r="E876" s="3" t="s">
        <v>76</v>
      </c>
      <c r="H876" s="47"/>
      <c r="I876" s="47"/>
      <c r="J876" s="529">
        <f>$J$93</f>
        <v>2025</v>
      </c>
      <c r="K876" s="70"/>
      <c r="L876" s="1211" t="s">
        <v>77</v>
      </c>
      <c r="M876" s="1211"/>
      <c r="N876" s="1211"/>
      <c r="O876" s="1211"/>
    </row>
    <row r="877" spans="1:15">
      <c r="C877" s="528" t="s">
        <v>78</v>
      </c>
      <c r="D877" s="569">
        <v>2016</v>
      </c>
      <c r="E877" s="528" t="s">
        <v>79</v>
      </c>
      <c r="F877" s="47"/>
      <c r="G877" s="47"/>
      <c r="I877"/>
      <c r="J877" s="570">
        <f>IF(H870="",0,$F$17)</f>
        <v>0</v>
      </c>
      <c r="K877" s="530"/>
      <c r="L877" s="503" t="s">
        <v>285</v>
      </c>
    </row>
    <row r="878" spans="1:15">
      <c r="C878" s="528" t="s">
        <v>80</v>
      </c>
      <c r="D878" s="568">
        <v>5</v>
      </c>
      <c r="E878" s="528" t="s">
        <v>81</v>
      </c>
      <c r="F878" s="47"/>
      <c r="G878" s="47"/>
      <c r="I878"/>
      <c r="J878" s="531">
        <f>$F$70</f>
        <v>0.11032660055737779</v>
      </c>
      <c r="K878" s="489"/>
      <c r="L878" s="3" t="str">
        <f>"          INPUT TRUE-UP ARR (WITH &amp; WITHOUT INCENTIVES) FROM EACH PRIOR YEAR"</f>
        <v xml:space="preserve">          INPUT TRUE-UP ARR (WITH &amp; WITHOUT INCENTIVES) FROM EACH PRIOR YEAR</v>
      </c>
    </row>
    <row r="879" spans="1:15">
      <c r="C879" s="528" t="s">
        <v>82</v>
      </c>
      <c r="D879" s="532">
        <f>H$79</f>
        <v>36</v>
      </c>
      <c r="E879" s="528" t="s">
        <v>83</v>
      </c>
      <c r="F879" s="47"/>
      <c r="G879" s="47"/>
      <c r="I879"/>
      <c r="J879" s="531">
        <f>IF(H870="",+J878,$F$69)</f>
        <v>0.11032660055737779</v>
      </c>
      <c r="K879" s="489"/>
      <c r="L879" s="3" t="s">
        <v>165</v>
      </c>
      <c r="M879" s="489"/>
      <c r="N879" s="489"/>
      <c r="O879" s="489"/>
    </row>
    <row r="880" spans="1:15" ht="13.5" thickBot="1">
      <c r="C880" s="528" t="s">
        <v>84</v>
      </c>
      <c r="D880" s="969" t="s">
        <v>812</v>
      </c>
      <c r="E880" s="533" t="s">
        <v>85</v>
      </c>
      <c r="F880" s="534"/>
      <c r="G880" s="534"/>
      <c r="H880" s="535"/>
      <c r="I880" s="535"/>
      <c r="J880" s="521">
        <f>IF(D876=0,0,D876/D879)</f>
        <v>234095.22194444446</v>
      </c>
      <c r="K880" s="503"/>
      <c r="L880" s="503" t="s">
        <v>166</v>
      </c>
      <c r="M880" s="503"/>
      <c r="N880" s="503"/>
      <c r="O880" s="503"/>
    </row>
    <row r="881" spans="2:16" ht="38.25">
      <c r="B881" s="450"/>
      <c r="C881" s="536" t="s">
        <v>75</v>
      </c>
      <c r="D881" s="537" t="s">
        <v>86</v>
      </c>
      <c r="E881" s="538" t="s">
        <v>87</v>
      </c>
      <c r="F881" s="537" t="s">
        <v>88</v>
      </c>
      <c r="G881" s="537" t="s">
        <v>246</v>
      </c>
      <c r="H881" s="538" t="s">
        <v>159</v>
      </c>
      <c r="I881" s="539" t="s">
        <v>159</v>
      </c>
      <c r="J881" s="536" t="s">
        <v>98</v>
      </c>
      <c r="K881" s="540"/>
      <c r="L881" s="538" t="s">
        <v>161</v>
      </c>
      <c r="M881" s="538" t="s">
        <v>167</v>
      </c>
      <c r="N881" s="538" t="s">
        <v>161</v>
      </c>
      <c r="O881" s="538" t="s">
        <v>169</v>
      </c>
      <c r="P881" s="538" t="s">
        <v>89</v>
      </c>
    </row>
    <row r="882" spans="2:16" ht="13.5" thickBot="1">
      <c r="C882" s="542" t="s">
        <v>475</v>
      </c>
      <c r="D882" s="543" t="s">
        <v>476</v>
      </c>
      <c r="E882" s="542" t="s">
        <v>369</v>
      </c>
      <c r="F882" s="543" t="s">
        <v>476</v>
      </c>
      <c r="G882" s="543" t="s">
        <v>476</v>
      </c>
      <c r="H882" s="544" t="s">
        <v>101</v>
      </c>
      <c r="I882" s="545" t="s">
        <v>103</v>
      </c>
      <c r="J882" s="542" t="s">
        <v>15</v>
      </c>
      <c r="K882" s="546"/>
      <c r="L882" s="544" t="s">
        <v>90</v>
      </c>
      <c r="M882" s="544" t="s">
        <v>90</v>
      </c>
      <c r="N882" s="544" t="s">
        <v>263</v>
      </c>
      <c r="O882" s="544" t="s">
        <v>263</v>
      </c>
      <c r="P882" s="544" t="s">
        <v>263</v>
      </c>
    </row>
    <row r="883" spans="2:16">
      <c r="C883" s="548">
        <f>IF(D877= "","-",D877)</f>
        <v>2016</v>
      </c>
      <c r="D883" s="506">
        <f>+D876</f>
        <v>8427427.9900000002</v>
      </c>
      <c r="E883" s="554">
        <f>+J880/12*(12-D878)</f>
        <v>136555.54613425929</v>
      </c>
      <c r="F883" s="601">
        <f t="shared" ref="F883:F942" si="79">+D883-E883</f>
        <v>8290872.4438657407</v>
      </c>
      <c r="G883" s="506">
        <f t="shared" ref="G883:G942" si="80">+(D883+F883)/2</f>
        <v>8359150.2169328704</v>
      </c>
      <c r="H883" s="550">
        <f>+J878*G883+E883</f>
        <v>1058792.1731169301</v>
      </c>
      <c r="I883" s="551">
        <f>+J879*G883+E883</f>
        <v>1058792.1731169301</v>
      </c>
      <c r="J883" s="552">
        <f t="shared" ref="J883:J942" si="81">+I883-H883</f>
        <v>0</v>
      </c>
      <c r="K883" s="552"/>
      <c r="L883" s="571">
        <v>0</v>
      </c>
      <c r="M883" s="602">
        <f t="shared" ref="M883:M942" si="82">IF(L883&lt;&gt;0,+H883-L883,0)</f>
        <v>0</v>
      </c>
      <c r="N883" s="571">
        <v>0</v>
      </c>
      <c r="O883" s="602">
        <f t="shared" ref="O883:O942" si="83">IF(N883&lt;&gt;0,+I883-N883,0)</f>
        <v>0</v>
      </c>
      <c r="P883" s="602">
        <f t="shared" ref="P883:P942" si="84">+O883-M883</f>
        <v>0</v>
      </c>
    </row>
    <row r="884" spans="2:16">
      <c r="C884" s="548">
        <f>IF(D877="","-",+C883+1)</f>
        <v>2017</v>
      </c>
      <c r="D884" s="970">
        <f t="shared" ref="D884:D942" si="85">F883</f>
        <v>8290872.4438657407</v>
      </c>
      <c r="E884" s="549">
        <f>IF(D884&gt;$J$880,$J$880,D884)</f>
        <v>234095.22194444446</v>
      </c>
      <c r="F884" s="549">
        <f t="shared" si="79"/>
        <v>8056777.2219212959</v>
      </c>
      <c r="G884" s="506">
        <f t="shared" si="80"/>
        <v>8173824.8328935187</v>
      </c>
      <c r="H884" s="554">
        <f>+J878*G884+E884</f>
        <v>1135885.529309063</v>
      </c>
      <c r="I884" s="555">
        <f>+J879*G884+E884</f>
        <v>1135885.529309063</v>
      </c>
      <c r="J884" s="552">
        <f t="shared" si="81"/>
        <v>0</v>
      </c>
      <c r="K884" s="552"/>
      <c r="L884" s="572">
        <v>0</v>
      </c>
      <c r="M884" s="552">
        <f t="shared" si="82"/>
        <v>0</v>
      </c>
      <c r="N884" s="572">
        <v>0</v>
      </c>
      <c r="O884" s="552">
        <f t="shared" si="83"/>
        <v>0</v>
      </c>
      <c r="P884" s="552">
        <f t="shared" si="84"/>
        <v>0</v>
      </c>
    </row>
    <row r="885" spans="2:16">
      <c r="C885" s="548">
        <f>IF(D877="","-",+C884+1)</f>
        <v>2018</v>
      </c>
      <c r="D885" s="506">
        <f t="shared" si="85"/>
        <v>8056777.2219212959</v>
      </c>
      <c r="E885" s="549">
        <f t="shared" ref="E885:E942" si="86">IF(D885&gt;$J$880,$J$880,D885)</f>
        <v>234095.22194444446</v>
      </c>
      <c r="F885" s="549">
        <f t="shared" si="79"/>
        <v>7822681.999976851</v>
      </c>
      <c r="G885" s="506">
        <f t="shared" si="80"/>
        <v>7939729.610949073</v>
      </c>
      <c r="H885" s="554">
        <f>+J878*G885+E885</f>
        <v>1110058.5992652075</v>
      </c>
      <c r="I885" s="555">
        <f>+J879*G885+E885</f>
        <v>1110058.5992652075</v>
      </c>
      <c r="J885" s="552">
        <f t="shared" si="81"/>
        <v>0</v>
      </c>
      <c r="K885" s="552"/>
      <c r="L885" s="572">
        <v>0</v>
      </c>
      <c r="M885" s="552">
        <f t="shared" si="82"/>
        <v>0</v>
      </c>
      <c r="N885" s="572">
        <v>0</v>
      </c>
      <c r="O885" s="552">
        <f t="shared" si="83"/>
        <v>0</v>
      </c>
      <c r="P885" s="552">
        <f t="shared" si="84"/>
        <v>0</v>
      </c>
    </row>
    <row r="886" spans="2:16">
      <c r="C886" s="548">
        <f>IF(D877="","-",+C885+1)</f>
        <v>2019</v>
      </c>
      <c r="D886" s="506">
        <f t="shared" si="85"/>
        <v>7822681.999976851</v>
      </c>
      <c r="E886" s="549">
        <f t="shared" si="86"/>
        <v>234095.22194444446</v>
      </c>
      <c r="F886" s="549">
        <f t="shared" si="79"/>
        <v>7588586.7780324062</v>
      </c>
      <c r="G886" s="506">
        <f t="shared" si="80"/>
        <v>7705634.3890046291</v>
      </c>
      <c r="H886" s="554">
        <f>+J878*G886+E886</f>
        <v>1084231.6692213521</v>
      </c>
      <c r="I886" s="555">
        <f>+J879*G886+E886</f>
        <v>1084231.6692213521</v>
      </c>
      <c r="J886" s="552">
        <f t="shared" si="81"/>
        <v>0</v>
      </c>
      <c r="K886" s="552"/>
      <c r="L886" s="572">
        <v>1008642</v>
      </c>
      <c r="M886" s="552">
        <f t="shared" si="82"/>
        <v>75589.669221352087</v>
      </c>
      <c r="N886" s="572">
        <v>1008642</v>
      </c>
      <c r="O886" s="552">
        <f t="shared" si="83"/>
        <v>75589.669221352087</v>
      </c>
      <c r="P886" s="552">
        <f t="shared" si="84"/>
        <v>0</v>
      </c>
    </row>
    <row r="887" spans="2:16">
      <c r="C887" s="548">
        <f>IF(D877="","-",+C886+1)</f>
        <v>2020</v>
      </c>
      <c r="D887" s="970">
        <f t="shared" si="85"/>
        <v>7588586.7780324062</v>
      </c>
      <c r="E887" s="549">
        <f t="shared" si="86"/>
        <v>234095.22194444446</v>
      </c>
      <c r="F887" s="549">
        <f t="shared" si="79"/>
        <v>7354491.5560879614</v>
      </c>
      <c r="G887" s="506">
        <f t="shared" si="80"/>
        <v>7471539.1670601834</v>
      </c>
      <c r="H887" s="554">
        <f>+J878*G887+E887</f>
        <v>1058404.7391774966</v>
      </c>
      <c r="I887" s="555">
        <f>+J879*G887+E887</f>
        <v>1058404.7391774966</v>
      </c>
      <c r="J887" s="552">
        <f t="shared" si="81"/>
        <v>0</v>
      </c>
      <c r="K887" s="552"/>
      <c r="L887" s="572">
        <v>1022943.147566004</v>
      </c>
      <c r="M887" s="552">
        <f t="shared" si="82"/>
        <v>35461.59161149268</v>
      </c>
      <c r="N887" s="572">
        <v>1022943.147566004</v>
      </c>
      <c r="O887" s="552">
        <f t="shared" si="83"/>
        <v>35461.59161149268</v>
      </c>
      <c r="P887" s="552">
        <f t="shared" si="84"/>
        <v>0</v>
      </c>
    </row>
    <row r="888" spans="2:16">
      <c r="C888" s="548">
        <f>IF(D877="","-",+C887+1)</f>
        <v>2021</v>
      </c>
      <c r="D888" s="970">
        <f t="shared" si="85"/>
        <v>7354491.5560879614</v>
      </c>
      <c r="E888" s="549">
        <f t="shared" si="86"/>
        <v>234095.22194444446</v>
      </c>
      <c r="F888" s="549">
        <f t="shared" si="79"/>
        <v>7120396.3341435166</v>
      </c>
      <c r="G888" s="506">
        <f t="shared" si="80"/>
        <v>7237443.9451157395</v>
      </c>
      <c r="H888" s="554">
        <f>+J878*G888+E888</f>
        <v>1032577.8091336412</v>
      </c>
      <c r="I888" s="555">
        <f>+J879*G888+E888</f>
        <v>1032577.8091336412</v>
      </c>
      <c r="J888" s="552">
        <f t="shared" si="81"/>
        <v>0</v>
      </c>
      <c r="K888" s="552"/>
      <c r="L888" s="572">
        <v>1014728.9243219129</v>
      </c>
      <c r="M888" s="552">
        <f t="shared" si="82"/>
        <v>17848.884811728261</v>
      </c>
      <c r="N888" s="572">
        <v>1014728.9243219129</v>
      </c>
      <c r="O888" s="552">
        <f t="shared" si="83"/>
        <v>17848.884811728261</v>
      </c>
      <c r="P888" s="552">
        <f t="shared" si="84"/>
        <v>0</v>
      </c>
    </row>
    <row r="889" spans="2:16">
      <c r="C889" s="548">
        <f>IF(D877="","-",+C888+1)</f>
        <v>2022</v>
      </c>
      <c r="D889" s="970">
        <f t="shared" si="85"/>
        <v>7120396.3341435166</v>
      </c>
      <c r="E889" s="549">
        <f t="shared" si="86"/>
        <v>234095.22194444446</v>
      </c>
      <c r="F889" s="549">
        <f t="shared" si="79"/>
        <v>6886301.1121990718</v>
      </c>
      <c r="G889" s="506">
        <f t="shared" si="80"/>
        <v>7003348.7231712937</v>
      </c>
      <c r="H889" s="554">
        <f>+J878*G889+E889</f>
        <v>1006750.8790897856</v>
      </c>
      <c r="I889" s="555">
        <f>+J879*G889+E889</f>
        <v>1006750.8790897856</v>
      </c>
      <c r="J889" s="552">
        <f t="shared" si="81"/>
        <v>0</v>
      </c>
      <c r="K889" s="552"/>
      <c r="L889" s="572">
        <v>1034327.9321963114</v>
      </c>
      <c r="M889" s="552">
        <f t="shared" si="82"/>
        <v>-27577.053106525796</v>
      </c>
      <c r="N889" s="572">
        <v>1034327.9321963114</v>
      </c>
      <c r="O889" s="552">
        <f t="shared" si="83"/>
        <v>-27577.053106525796</v>
      </c>
      <c r="P889" s="552">
        <f t="shared" si="84"/>
        <v>0</v>
      </c>
    </row>
    <row r="890" spans="2:16">
      <c r="C890" s="548">
        <f>IF(D877="","-",+C889+1)</f>
        <v>2023</v>
      </c>
      <c r="D890" s="506">
        <f t="shared" si="85"/>
        <v>6886301.1121990718</v>
      </c>
      <c r="E890" s="549">
        <f t="shared" si="86"/>
        <v>234095.22194444446</v>
      </c>
      <c r="F890" s="549">
        <f t="shared" si="79"/>
        <v>6652205.890254627</v>
      </c>
      <c r="G890" s="506">
        <f t="shared" si="80"/>
        <v>6769253.5012268499</v>
      </c>
      <c r="H890" s="554">
        <f>+J878*G890+E890</f>
        <v>980923.94904593017</v>
      </c>
      <c r="I890" s="555">
        <f>+J879*G890+E890</f>
        <v>980923.94904593017</v>
      </c>
      <c r="J890" s="552">
        <f t="shared" si="81"/>
        <v>0</v>
      </c>
      <c r="K890" s="552"/>
      <c r="L890" s="572">
        <v>1007820.099343307</v>
      </c>
      <c r="M890" s="552">
        <f t="shared" si="82"/>
        <v>-26896.150297376793</v>
      </c>
      <c r="N890" s="572">
        <v>1007820.099343307</v>
      </c>
      <c r="O890" s="552">
        <f t="shared" si="83"/>
        <v>-26896.150297376793</v>
      </c>
      <c r="P890" s="552">
        <f t="shared" si="84"/>
        <v>0</v>
      </c>
    </row>
    <row r="891" spans="2:16">
      <c r="C891" s="548">
        <f>IF(D877="","-",+C890+1)</f>
        <v>2024</v>
      </c>
      <c r="D891" s="506">
        <f t="shared" si="85"/>
        <v>6652205.890254627</v>
      </c>
      <c r="E891" s="549">
        <f t="shared" si="86"/>
        <v>234095.22194444446</v>
      </c>
      <c r="F891" s="549">
        <f t="shared" si="79"/>
        <v>6418110.6683101822</v>
      </c>
      <c r="G891" s="506">
        <f t="shared" si="80"/>
        <v>6535158.2792824041</v>
      </c>
      <c r="H891" s="554">
        <f>+J878*G891+E891</f>
        <v>955097.01900207461</v>
      </c>
      <c r="I891" s="555">
        <f>+J879*G891+E891</f>
        <v>955097.01900207461</v>
      </c>
      <c r="J891" s="552">
        <f t="shared" si="81"/>
        <v>0</v>
      </c>
      <c r="K891" s="552"/>
      <c r="L891" s="572">
        <v>977374.75329092308</v>
      </c>
      <c r="M891" s="552">
        <f t="shared" si="82"/>
        <v>-22277.734288848471</v>
      </c>
      <c r="N891" s="572">
        <v>977374.75329092308</v>
      </c>
      <c r="O891" s="552">
        <f t="shared" si="83"/>
        <v>-22277.734288848471</v>
      </c>
      <c r="P891" s="552">
        <f t="shared" si="84"/>
        <v>0</v>
      </c>
    </row>
    <row r="892" spans="2:16">
      <c r="C892" s="548">
        <f>IF(D877="","-",+C891+1)</f>
        <v>2025</v>
      </c>
      <c r="D892" s="506">
        <f t="shared" si="85"/>
        <v>6418110.6683101822</v>
      </c>
      <c r="E892" s="549">
        <f t="shared" si="86"/>
        <v>234095.22194444446</v>
      </c>
      <c r="F892" s="549">
        <f t="shared" si="79"/>
        <v>6184015.4463657374</v>
      </c>
      <c r="G892" s="506">
        <f t="shared" si="80"/>
        <v>6301063.0573379602</v>
      </c>
      <c r="H892" s="554">
        <f>+J878*G892+E892</f>
        <v>929270.08895821928</v>
      </c>
      <c r="I892" s="555">
        <f>+J879*G892+E892</f>
        <v>929270.08895821928</v>
      </c>
      <c r="J892" s="552">
        <f t="shared" si="81"/>
        <v>0</v>
      </c>
      <c r="K892" s="552"/>
      <c r="L892" s="572">
        <v>960483.40935574681</v>
      </c>
      <c r="M892" s="552">
        <f t="shared" si="82"/>
        <v>-31213.320397527539</v>
      </c>
      <c r="N892" s="572">
        <v>960483.40935574681</v>
      </c>
      <c r="O892" s="552">
        <f t="shared" si="83"/>
        <v>-31213.320397527539</v>
      </c>
      <c r="P892" s="552">
        <f t="shared" si="84"/>
        <v>0</v>
      </c>
    </row>
    <row r="893" spans="2:16">
      <c r="C893" s="548">
        <f>IF(D877="","-",+C892+1)</f>
        <v>2026</v>
      </c>
      <c r="D893" s="506">
        <f t="shared" si="85"/>
        <v>6184015.4463657374</v>
      </c>
      <c r="E893" s="549">
        <f t="shared" si="86"/>
        <v>234095.22194444446</v>
      </c>
      <c r="F893" s="549">
        <f t="shared" si="79"/>
        <v>5949920.2244212925</v>
      </c>
      <c r="G893" s="506">
        <f t="shared" si="80"/>
        <v>6066967.8353935145</v>
      </c>
      <c r="H893" s="554">
        <f>+J878*G893+E893</f>
        <v>903443.15891436371</v>
      </c>
      <c r="I893" s="555">
        <f>+J879*G893+E893</f>
        <v>903443.15891436371</v>
      </c>
      <c r="J893" s="552">
        <f t="shared" si="81"/>
        <v>0</v>
      </c>
      <c r="K893" s="552"/>
      <c r="L893" s="572"/>
      <c r="M893" s="552">
        <f t="shared" si="82"/>
        <v>0</v>
      </c>
      <c r="N893" s="572"/>
      <c r="O893" s="552">
        <f t="shared" si="83"/>
        <v>0</v>
      </c>
      <c r="P893" s="552">
        <f t="shared" si="84"/>
        <v>0</v>
      </c>
    </row>
    <row r="894" spans="2:16">
      <c r="C894" s="548">
        <f>IF(D877="","-",+C893+1)</f>
        <v>2027</v>
      </c>
      <c r="D894" s="506">
        <f t="shared" si="85"/>
        <v>5949920.2244212925</v>
      </c>
      <c r="E894" s="549">
        <f t="shared" si="86"/>
        <v>234095.22194444446</v>
      </c>
      <c r="F894" s="549">
        <f t="shared" si="79"/>
        <v>5715825.0024768477</v>
      </c>
      <c r="G894" s="506">
        <f t="shared" si="80"/>
        <v>5832872.6134490706</v>
      </c>
      <c r="H894" s="554">
        <f>+J878*G894+E894</f>
        <v>877616.22887050838</v>
      </c>
      <c r="I894" s="555">
        <f>+J879*G894+E894</f>
        <v>877616.22887050838</v>
      </c>
      <c r="J894" s="552">
        <f t="shared" si="81"/>
        <v>0</v>
      </c>
      <c r="K894" s="552"/>
      <c r="L894" s="572"/>
      <c r="M894" s="552">
        <f t="shared" si="82"/>
        <v>0</v>
      </c>
      <c r="N894" s="572"/>
      <c r="O894" s="552">
        <f t="shared" si="83"/>
        <v>0</v>
      </c>
      <c r="P894" s="552">
        <f t="shared" si="84"/>
        <v>0</v>
      </c>
    </row>
    <row r="895" spans="2:16">
      <c r="C895" s="548">
        <f>IF(D877="","-",+C894+1)</f>
        <v>2028</v>
      </c>
      <c r="D895" s="506">
        <f t="shared" si="85"/>
        <v>5715825.0024768477</v>
      </c>
      <c r="E895" s="549">
        <f t="shared" si="86"/>
        <v>234095.22194444446</v>
      </c>
      <c r="F895" s="549">
        <f t="shared" si="79"/>
        <v>5481729.7805324029</v>
      </c>
      <c r="G895" s="506">
        <f t="shared" si="80"/>
        <v>5598777.3915046249</v>
      </c>
      <c r="H895" s="554">
        <f>+J878*G895+E895</f>
        <v>851789.29882665281</v>
      </c>
      <c r="I895" s="555">
        <f>+J879*G895+E895</f>
        <v>851789.29882665281</v>
      </c>
      <c r="J895" s="552">
        <f t="shared" si="81"/>
        <v>0</v>
      </c>
      <c r="K895" s="552"/>
      <c r="L895" s="572"/>
      <c r="M895" s="552">
        <f t="shared" si="82"/>
        <v>0</v>
      </c>
      <c r="N895" s="572"/>
      <c r="O895" s="552">
        <f t="shared" si="83"/>
        <v>0</v>
      </c>
      <c r="P895" s="552">
        <f t="shared" si="84"/>
        <v>0</v>
      </c>
    </row>
    <row r="896" spans="2:16">
      <c r="C896" s="548">
        <f>IF(D877="","-",+C895+1)</f>
        <v>2029</v>
      </c>
      <c r="D896" s="506">
        <f t="shared" si="85"/>
        <v>5481729.7805324029</v>
      </c>
      <c r="E896" s="549">
        <f t="shared" si="86"/>
        <v>234095.22194444446</v>
      </c>
      <c r="F896" s="549">
        <f t="shared" si="79"/>
        <v>5247634.5585879581</v>
      </c>
      <c r="G896" s="506">
        <f t="shared" si="80"/>
        <v>5364682.169560181</v>
      </c>
      <c r="H896" s="554">
        <f>+J878*G896+E896</f>
        <v>825962.36878279748</v>
      </c>
      <c r="I896" s="555">
        <f>+J879*G896+E896</f>
        <v>825962.36878279748</v>
      </c>
      <c r="J896" s="552">
        <f t="shared" si="81"/>
        <v>0</v>
      </c>
      <c r="K896" s="552"/>
      <c r="L896" s="572"/>
      <c r="M896" s="552">
        <f t="shared" si="82"/>
        <v>0</v>
      </c>
      <c r="N896" s="572"/>
      <c r="O896" s="552">
        <f t="shared" si="83"/>
        <v>0</v>
      </c>
      <c r="P896" s="552">
        <f t="shared" si="84"/>
        <v>0</v>
      </c>
    </row>
    <row r="897" spans="3:16">
      <c r="C897" s="548">
        <f>IF(D877="","-",+C896+1)</f>
        <v>2030</v>
      </c>
      <c r="D897" s="506">
        <f t="shared" si="85"/>
        <v>5247634.5585879581</v>
      </c>
      <c r="E897" s="549">
        <f t="shared" si="86"/>
        <v>234095.22194444446</v>
      </c>
      <c r="F897" s="549">
        <f t="shared" si="79"/>
        <v>5013539.3366435133</v>
      </c>
      <c r="G897" s="506">
        <f t="shared" si="80"/>
        <v>5130586.9476157352</v>
      </c>
      <c r="H897" s="554">
        <f>+J878*G897+E897</f>
        <v>800135.43873894191</v>
      </c>
      <c r="I897" s="555">
        <f>+J879*G897+E897</f>
        <v>800135.43873894191</v>
      </c>
      <c r="J897" s="552">
        <f t="shared" si="81"/>
        <v>0</v>
      </c>
      <c r="K897" s="552"/>
      <c r="L897" s="572"/>
      <c r="M897" s="552">
        <f t="shared" si="82"/>
        <v>0</v>
      </c>
      <c r="N897" s="572"/>
      <c r="O897" s="552">
        <f t="shared" si="83"/>
        <v>0</v>
      </c>
      <c r="P897" s="552">
        <f t="shared" si="84"/>
        <v>0</v>
      </c>
    </row>
    <row r="898" spans="3:16">
      <c r="C898" s="548">
        <f>IF(D877="","-",+C897+1)</f>
        <v>2031</v>
      </c>
      <c r="D898" s="506">
        <f t="shared" si="85"/>
        <v>5013539.3366435133</v>
      </c>
      <c r="E898" s="549">
        <f t="shared" si="86"/>
        <v>234095.22194444446</v>
      </c>
      <c r="F898" s="549">
        <f t="shared" si="79"/>
        <v>4779444.1146990685</v>
      </c>
      <c r="G898" s="506">
        <f t="shared" si="80"/>
        <v>4896491.7256712914</v>
      </c>
      <c r="H898" s="554">
        <f>+J878*G898+E898</f>
        <v>774308.50869508646</v>
      </c>
      <c r="I898" s="555">
        <f>+J879*G898+E898</f>
        <v>774308.50869508646</v>
      </c>
      <c r="J898" s="552">
        <f t="shared" si="81"/>
        <v>0</v>
      </c>
      <c r="K898" s="552"/>
      <c r="L898" s="572"/>
      <c r="M898" s="552">
        <f t="shared" si="82"/>
        <v>0</v>
      </c>
      <c r="N898" s="572"/>
      <c r="O898" s="552">
        <f t="shared" si="83"/>
        <v>0</v>
      </c>
      <c r="P898" s="552">
        <f t="shared" si="84"/>
        <v>0</v>
      </c>
    </row>
    <row r="899" spans="3:16">
      <c r="C899" s="548">
        <f>IF(D877="","-",+C898+1)</f>
        <v>2032</v>
      </c>
      <c r="D899" s="506">
        <f t="shared" si="85"/>
        <v>4779444.1146990685</v>
      </c>
      <c r="E899" s="549">
        <f t="shared" si="86"/>
        <v>234095.22194444446</v>
      </c>
      <c r="F899" s="549">
        <f t="shared" si="79"/>
        <v>4545348.8927546237</v>
      </c>
      <c r="G899" s="506">
        <f t="shared" si="80"/>
        <v>4662396.5037268456</v>
      </c>
      <c r="H899" s="554">
        <f>+J878*G899+E899</f>
        <v>748481.57865123102</v>
      </c>
      <c r="I899" s="555">
        <f>+J879*G899+E899</f>
        <v>748481.57865123102</v>
      </c>
      <c r="J899" s="552">
        <f t="shared" si="81"/>
        <v>0</v>
      </c>
      <c r="K899" s="552"/>
      <c r="L899" s="572"/>
      <c r="M899" s="552">
        <f t="shared" si="82"/>
        <v>0</v>
      </c>
      <c r="N899" s="572"/>
      <c r="O899" s="552">
        <f t="shared" si="83"/>
        <v>0</v>
      </c>
      <c r="P899" s="552">
        <f t="shared" si="84"/>
        <v>0</v>
      </c>
    </row>
    <row r="900" spans="3:16">
      <c r="C900" s="548">
        <f>IF(D877="","-",+C899+1)</f>
        <v>2033</v>
      </c>
      <c r="D900" s="506">
        <f t="shared" si="85"/>
        <v>4545348.8927546237</v>
      </c>
      <c r="E900" s="549">
        <f t="shared" si="86"/>
        <v>234095.22194444446</v>
      </c>
      <c r="F900" s="549">
        <f t="shared" si="79"/>
        <v>4311253.6708101789</v>
      </c>
      <c r="G900" s="506">
        <f t="shared" si="80"/>
        <v>4428301.2817824017</v>
      </c>
      <c r="H900" s="554">
        <f>+J878*G900+E900</f>
        <v>722654.64860737557</v>
      </c>
      <c r="I900" s="555">
        <f>+J879*G900+E900</f>
        <v>722654.64860737557</v>
      </c>
      <c r="J900" s="552">
        <f t="shared" si="81"/>
        <v>0</v>
      </c>
      <c r="K900" s="552"/>
      <c r="L900" s="572"/>
      <c r="M900" s="552">
        <f t="shared" si="82"/>
        <v>0</v>
      </c>
      <c r="N900" s="572"/>
      <c r="O900" s="552">
        <f t="shared" si="83"/>
        <v>0</v>
      </c>
      <c r="P900" s="552">
        <f t="shared" si="84"/>
        <v>0</v>
      </c>
    </row>
    <row r="901" spans="3:16">
      <c r="C901" s="548">
        <f>IF(D877="","-",+C900+1)</f>
        <v>2034</v>
      </c>
      <c r="D901" s="506">
        <f t="shared" si="85"/>
        <v>4311253.6708101789</v>
      </c>
      <c r="E901" s="549">
        <f t="shared" si="86"/>
        <v>234095.22194444446</v>
      </c>
      <c r="F901" s="549">
        <f t="shared" si="79"/>
        <v>4077158.4488657345</v>
      </c>
      <c r="G901" s="506">
        <f t="shared" si="80"/>
        <v>4194206.0598379569</v>
      </c>
      <c r="H901" s="554">
        <f>+J878*G901+E901</f>
        <v>696827.71856352012</v>
      </c>
      <c r="I901" s="555">
        <f>+J879*G901+E901</f>
        <v>696827.71856352012</v>
      </c>
      <c r="J901" s="552">
        <f t="shared" si="81"/>
        <v>0</v>
      </c>
      <c r="K901" s="552"/>
      <c r="L901" s="572"/>
      <c r="M901" s="552">
        <f t="shared" si="82"/>
        <v>0</v>
      </c>
      <c r="N901" s="572"/>
      <c r="O901" s="552">
        <f t="shared" si="83"/>
        <v>0</v>
      </c>
      <c r="P901" s="552">
        <f t="shared" si="84"/>
        <v>0</v>
      </c>
    </row>
    <row r="902" spans="3:16">
      <c r="C902" s="548">
        <f>IF(D877="","-",+C901+1)</f>
        <v>2035</v>
      </c>
      <c r="D902" s="506">
        <f t="shared" si="85"/>
        <v>4077158.4488657345</v>
      </c>
      <c r="E902" s="549">
        <f t="shared" si="86"/>
        <v>234095.22194444446</v>
      </c>
      <c r="F902" s="549">
        <f t="shared" si="79"/>
        <v>3843063.2269212902</v>
      </c>
      <c r="G902" s="506">
        <f t="shared" si="80"/>
        <v>3960110.8378935121</v>
      </c>
      <c r="H902" s="554">
        <f>+J878*G902+E902</f>
        <v>671000.78851966467</v>
      </c>
      <c r="I902" s="555">
        <f>+J879*G902+E902</f>
        <v>671000.78851966467</v>
      </c>
      <c r="J902" s="552">
        <f t="shared" si="81"/>
        <v>0</v>
      </c>
      <c r="K902" s="552"/>
      <c r="L902" s="572"/>
      <c r="M902" s="552">
        <f t="shared" si="82"/>
        <v>0</v>
      </c>
      <c r="N902" s="572"/>
      <c r="O902" s="552">
        <f t="shared" si="83"/>
        <v>0</v>
      </c>
      <c r="P902" s="552">
        <f t="shared" si="84"/>
        <v>0</v>
      </c>
    </row>
    <row r="903" spans="3:16">
      <c r="C903" s="548">
        <f>IF(D877="","-",+C902+1)</f>
        <v>2036</v>
      </c>
      <c r="D903" s="506">
        <f t="shared" si="85"/>
        <v>3843063.2269212902</v>
      </c>
      <c r="E903" s="549">
        <f t="shared" si="86"/>
        <v>234095.22194444446</v>
      </c>
      <c r="F903" s="549">
        <f t="shared" si="79"/>
        <v>3608968.0049768458</v>
      </c>
      <c r="G903" s="506">
        <f t="shared" si="80"/>
        <v>3726015.6159490682</v>
      </c>
      <c r="H903" s="554">
        <f>+J878*G903+E903</f>
        <v>645173.85847580922</v>
      </c>
      <c r="I903" s="555">
        <f>+J879*G903+E903</f>
        <v>645173.85847580922</v>
      </c>
      <c r="J903" s="552">
        <f t="shared" si="81"/>
        <v>0</v>
      </c>
      <c r="K903" s="552"/>
      <c r="L903" s="572"/>
      <c r="M903" s="552">
        <f t="shared" si="82"/>
        <v>0</v>
      </c>
      <c r="N903" s="572"/>
      <c r="O903" s="552">
        <f t="shared" si="83"/>
        <v>0</v>
      </c>
      <c r="P903" s="552">
        <f t="shared" si="84"/>
        <v>0</v>
      </c>
    </row>
    <row r="904" spans="3:16">
      <c r="C904" s="548">
        <f>IF(D877="","-",+C903+1)</f>
        <v>2037</v>
      </c>
      <c r="D904" s="506">
        <f t="shared" si="85"/>
        <v>3608968.0049768458</v>
      </c>
      <c r="E904" s="549">
        <f t="shared" si="86"/>
        <v>234095.22194444446</v>
      </c>
      <c r="F904" s="549">
        <f t="shared" si="79"/>
        <v>3374872.7830324015</v>
      </c>
      <c r="G904" s="506">
        <f t="shared" si="80"/>
        <v>3491920.3940046234</v>
      </c>
      <c r="H904" s="554">
        <f>+J878*G904+E904</f>
        <v>619346.92843195377</v>
      </c>
      <c r="I904" s="555">
        <f>+J879*G904+E904</f>
        <v>619346.92843195377</v>
      </c>
      <c r="J904" s="552">
        <f t="shared" si="81"/>
        <v>0</v>
      </c>
      <c r="K904" s="552"/>
      <c r="L904" s="572"/>
      <c r="M904" s="552">
        <f t="shared" si="82"/>
        <v>0</v>
      </c>
      <c r="N904" s="572"/>
      <c r="O904" s="552">
        <f t="shared" si="83"/>
        <v>0</v>
      </c>
      <c r="P904" s="552">
        <f t="shared" si="84"/>
        <v>0</v>
      </c>
    </row>
    <row r="905" spans="3:16">
      <c r="C905" s="548">
        <f>IF(D877="","-",+C904+1)</f>
        <v>2038</v>
      </c>
      <c r="D905" s="506">
        <f t="shared" si="85"/>
        <v>3374872.7830324015</v>
      </c>
      <c r="E905" s="549">
        <f t="shared" si="86"/>
        <v>234095.22194444446</v>
      </c>
      <c r="F905" s="549">
        <f t="shared" si="79"/>
        <v>3140777.5610879571</v>
      </c>
      <c r="G905" s="506">
        <f t="shared" si="80"/>
        <v>3257825.1720601795</v>
      </c>
      <c r="H905" s="554">
        <f>+J878*G905+E905</f>
        <v>593519.99838809855</v>
      </c>
      <c r="I905" s="555">
        <f>+J879*G905+E905</f>
        <v>593519.99838809855</v>
      </c>
      <c r="J905" s="552">
        <f t="shared" si="81"/>
        <v>0</v>
      </c>
      <c r="K905" s="552"/>
      <c r="L905" s="572"/>
      <c r="M905" s="552">
        <f t="shared" si="82"/>
        <v>0</v>
      </c>
      <c r="N905" s="572"/>
      <c r="O905" s="552">
        <f t="shared" si="83"/>
        <v>0</v>
      </c>
      <c r="P905" s="552">
        <f t="shared" si="84"/>
        <v>0</v>
      </c>
    </row>
    <row r="906" spans="3:16">
      <c r="C906" s="548">
        <f>IF(D877="","-",+C905+1)</f>
        <v>2039</v>
      </c>
      <c r="D906" s="506">
        <f t="shared" si="85"/>
        <v>3140777.5610879571</v>
      </c>
      <c r="E906" s="549">
        <f t="shared" si="86"/>
        <v>234095.22194444446</v>
      </c>
      <c r="F906" s="549">
        <f t="shared" si="79"/>
        <v>2906682.3391435128</v>
      </c>
      <c r="G906" s="506">
        <f t="shared" si="80"/>
        <v>3023729.9501157347</v>
      </c>
      <c r="H906" s="554">
        <f>+J878*G906+E906</f>
        <v>567693.06834424299</v>
      </c>
      <c r="I906" s="555">
        <f>+J879*G906+E906</f>
        <v>567693.06834424299</v>
      </c>
      <c r="J906" s="552">
        <f t="shared" si="81"/>
        <v>0</v>
      </c>
      <c r="K906" s="552"/>
      <c r="L906" s="572"/>
      <c r="M906" s="552">
        <f t="shared" si="82"/>
        <v>0</v>
      </c>
      <c r="N906" s="572"/>
      <c r="O906" s="552">
        <f t="shared" si="83"/>
        <v>0</v>
      </c>
      <c r="P906" s="552">
        <f t="shared" si="84"/>
        <v>0</v>
      </c>
    </row>
    <row r="907" spans="3:16">
      <c r="C907" s="548">
        <f>IF(D877="","-",+C906+1)</f>
        <v>2040</v>
      </c>
      <c r="D907" s="506">
        <f t="shared" si="85"/>
        <v>2906682.3391435128</v>
      </c>
      <c r="E907" s="549">
        <f t="shared" si="86"/>
        <v>234095.22194444446</v>
      </c>
      <c r="F907" s="549">
        <f t="shared" si="79"/>
        <v>2672587.1171990684</v>
      </c>
      <c r="G907" s="506">
        <f t="shared" si="80"/>
        <v>2789634.7281712908</v>
      </c>
      <c r="H907" s="554">
        <f>+J878*G907+E907</f>
        <v>541866.13830038765</v>
      </c>
      <c r="I907" s="555">
        <f>+J879*G907+E907</f>
        <v>541866.13830038765</v>
      </c>
      <c r="J907" s="552">
        <f t="shared" si="81"/>
        <v>0</v>
      </c>
      <c r="K907" s="552"/>
      <c r="L907" s="572"/>
      <c r="M907" s="552">
        <f t="shared" si="82"/>
        <v>0</v>
      </c>
      <c r="N907" s="572"/>
      <c r="O907" s="552">
        <f t="shared" si="83"/>
        <v>0</v>
      </c>
      <c r="P907" s="552">
        <f t="shared" si="84"/>
        <v>0</v>
      </c>
    </row>
    <row r="908" spans="3:16">
      <c r="C908" s="548">
        <f>IF(D877="","-",+C907+1)</f>
        <v>2041</v>
      </c>
      <c r="D908" s="506">
        <f t="shared" si="85"/>
        <v>2672587.1171990684</v>
      </c>
      <c r="E908" s="549">
        <f t="shared" si="86"/>
        <v>234095.22194444446</v>
      </c>
      <c r="F908" s="549">
        <f t="shared" si="79"/>
        <v>2438491.8952546241</v>
      </c>
      <c r="G908" s="506">
        <f t="shared" si="80"/>
        <v>2555539.506226846</v>
      </c>
      <c r="H908" s="554">
        <f>+J878*G908+E908</f>
        <v>516039.20825653221</v>
      </c>
      <c r="I908" s="555">
        <f>+J879*G908+E908</f>
        <v>516039.20825653221</v>
      </c>
      <c r="J908" s="552">
        <f t="shared" si="81"/>
        <v>0</v>
      </c>
      <c r="K908" s="552"/>
      <c r="L908" s="572"/>
      <c r="M908" s="552">
        <f t="shared" si="82"/>
        <v>0</v>
      </c>
      <c r="N908" s="572"/>
      <c r="O908" s="552">
        <f t="shared" si="83"/>
        <v>0</v>
      </c>
      <c r="P908" s="552">
        <f t="shared" si="84"/>
        <v>0</v>
      </c>
    </row>
    <row r="909" spans="3:16">
      <c r="C909" s="548">
        <f>IF(D877="","-",+C908+1)</f>
        <v>2042</v>
      </c>
      <c r="D909" s="506">
        <f t="shared" si="85"/>
        <v>2438491.8952546241</v>
      </c>
      <c r="E909" s="549">
        <f t="shared" si="86"/>
        <v>234095.22194444446</v>
      </c>
      <c r="F909" s="549">
        <f t="shared" si="79"/>
        <v>2204396.6733101797</v>
      </c>
      <c r="G909" s="506">
        <f t="shared" si="80"/>
        <v>2321444.2842824021</v>
      </c>
      <c r="H909" s="554">
        <f>+J878*G909+E909</f>
        <v>490212.27821267681</v>
      </c>
      <c r="I909" s="555">
        <f>+J879*G909+E909</f>
        <v>490212.27821267681</v>
      </c>
      <c r="J909" s="552">
        <f t="shared" si="81"/>
        <v>0</v>
      </c>
      <c r="K909" s="552"/>
      <c r="L909" s="572"/>
      <c r="M909" s="552">
        <f t="shared" si="82"/>
        <v>0</v>
      </c>
      <c r="N909" s="572"/>
      <c r="O909" s="552">
        <f t="shared" si="83"/>
        <v>0</v>
      </c>
      <c r="P909" s="552">
        <f t="shared" si="84"/>
        <v>0</v>
      </c>
    </row>
    <row r="910" spans="3:16">
      <c r="C910" s="548">
        <f>IF(D877="","-",+C909+1)</f>
        <v>2043</v>
      </c>
      <c r="D910" s="506">
        <f t="shared" si="85"/>
        <v>2204396.6733101797</v>
      </c>
      <c r="E910" s="549">
        <f t="shared" si="86"/>
        <v>234095.22194444446</v>
      </c>
      <c r="F910" s="549">
        <f t="shared" si="79"/>
        <v>1970301.4513657354</v>
      </c>
      <c r="G910" s="506">
        <f t="shared" si="80"/>
        <v>2087349.0623379576</v>
      </c>
      <c r="H910" s="554">
        <f>+J878*G910+E910</f>
        <v>464385.34816882142</v>
      </c>
      <c r="I910" s="555">
        <f>+J879*G910+E910</f>
        <v>464385.34816882142</v>
      </c>
      <c r="J910" s="552">
        <f t="shared" si="81"/>
        <v>0</v>
      </c>
      <c r="K910" s="552"/>
      <c r="L910" s="572"/>
      <c r="M910" s="552">
        <f t="shared" si="82"/>
        <v>0</v>
      </c>
      <c r="N910" s="572"/>
      <c r="O910" s="552">
        <f t="shared" si="83"/>
        <v>0</v>
      </c>
      <c r="P910" s="552">
        <f t="shared" si="84"/>
        <v>0</v>
      </c>
    </row>
    <row r="911" spans="3:16">
      <c r="C911" s="548">
        <f>IF(D877="","-",+C910+1)</f>
        <v>2044</v>
      </c>
      <c r="D911" s="506">
        <f t="shared" si="85"/>
        <v>1970301.4513657354</v>
      </c>
      <c r="E911" s="549">
        <f t="shared" si="86"/>
        <v>234095.22194444446</v>
      </c>
      <c r="F911" s="549">
        <f t="shared" si="79"/>
        <v>1736206.229421291</v>
      </c>
      <c r="G911" s="506">
        <f t="shared" si="80"/>
        <v>1853253.8403935132</v>
      </c>
      <c r="H911" s="554">
        <f>+J878*G911+E911</f>
        <v>438558.41812496597</v>
      </c>
      <c r="I911" s="555">
        <f>+J879*G911+E911</f>
        <v>438558.41812496597</v>
      </c>
      <c r="J911" s="552">
        <f t="shared" si="81"/>
        <v>0</v>
      </c>
      <c r="K911" s="552"/>
      <c r="L911" s="572"/>
      <c r="M911" s="552">
        <f t="shared" si="82"/>
        <v>0</v>
      </c>
      <c r="N911" s="572"/>
      <c r="O911" s="552">
        <f t="shared" si="83"/>
        <v>0</v>
      </c>
      <c r="P911" s="552">
        <f t="shared" si="84"/>
        <v>0</v>
      </c>
    </row>
    <row r="912" spans="3:16">
      <c r="C912" s="548">
        <f>IF(D877="","-",+C911+1)</f>
        <v>2045</v>
      </c>
      <c r="D912" s="506">
        <f t="shared" si="85"/>
        <v>1736206.229421291</v>
      </c>
      <c r="E912" s="549">
        <f t="shared" si="86"/>
        <v>234095.22194444446</v>
      </c>
      <c r="F912" s="549">
        <f t="shared" si="79"/>
        <v>1502111.0074768467</v>
      </c>
      <c r="G912" s="506">
        <f t="shared" si="80"/>
        <v>1619158.6184490689</v>
      </c>
      <c r="H912" s="554">
        <f>+J878*G912+E912</f>
        <v>412731.48808111052</v>
      </c>
      <c r="I912" s="555">
        <f>+J879*G912+E912</f>
        <v>412731.48808111052</v>
      </c>
      <c r="J912" s="552">
        <f t="shared" si="81"/>
        <v>0</v>
      </c>
      <c r="K912" s="552"/>
      <c r="L912" s="572"/>
      <c r="M912" s="552">
        <f t="shared" si="82"/>
        <v>0</v>
      </c>
      <c r="N912" s="572"/>
      <c r="O912" s="552">
        <f t="shared" si="83"/>
        <v>0</v>
      </c>
      <c r="P912" s="552">
        <f t="shared" si="84"/>
        <v>0</v>
      </c>
    </row>
    <row r="913" spans="3:16">
      <c r="C913" s="548">
        <f>IF(D877="","-",+C912+1)</f>
        <v>2046</v>
      </c>
      <c r="D913" s="506">
        <f t="shared" si="85"/>
        <v>1502111.0074768467</v>
      </c>
      <c r="E913" s="549">
        <f t="shared" si="86"/>
        <v>234095.22194444446</v>
      </c>
      <c r="F913" s="549">
        <f t="shared" si="79"/>
        <v>1268015.7855324023</v>
      </c>
      <c r="G913" s="506">
        <f t="shared" si="80"/>
        <v>1385063.3965046245</v>
      </c>
      <c r="H913" s="554">
        <f>+J878*G913+E913</f>
        <v>386904.55803725519</v>
      </c>
      <c r="I913" s="555">
        <f>+J879*G913+E913</f>
        <v>386904.55803725519</v>
      </c>
      <c r="J913" s="552">
        <f t="shared" si="81"/>
        <v>0</v>
      </c>
      <c r="K913" s="552"/>
      <c r="L913" s="572"/>
      <c r="M913" s="552">
        <f t="shared" si="82"/>
        <v>0</v>
      </c>
      <c r="N913" s="572"/>
      <c r="O913" s="552">
        <f t="shared" si="83"/>
        <v>0</v>
      </c>
      <c r="P913" s="552">
        <f t="shared" si="84"/>
        <v>0</v>
      </c>
    </row>
    <row r="914" spans="3:16">
      <c r="C914" s="548">
        <f>IF(D877="","-",+C913+1)</f>
        <v>2047</v>
      </c>
      <c r="D914" s="506">
        <f t="shared" si="85"/>
        <v>1268015.7855324023</v>
      </c>
      <c r="E914" s="549">
        <f t="shared" si="86"/>
        <v>234095.22194444446</v>
      </c>
      <c r="F914" s="549">
        <f t="shared" si="79"/>
        <v>1033920.5635879579</v>
      </c>
      <c r="G914" s="506">
        <f t="shared" si="80"/>
        <v>1150968.1745601802</v>
      </c>
      <c r="H914" s="554">
        <f>+J878*G914+E914</f>
        <v>361077.62799339974</v>
      </c>
      <c r="I914" s="555">
        <f>+J879*G914+E914</f>
        <v>361077.62799339974</v>
      </c>
      <c r="J914" s="552">
        <f t="shared" si="81"/>
        <v>0</v>
      </c>
      <c r="K914" s="552"/>
      <c r="L914" s="572"/>
      <c r="M914" s="552">
        <f t="shared" si="82"/>
        <v>0</v>
      </c>
      <c r="N914" s="572"/>
      <c r="O914" s="552">
        <f t="shared" si="83"/>
        <v>0</v>
      </c>
      <c r="P914" s="552">
        <f t="shared" si="84"/>
        <v>0</v>
      </c>
    </row>
    <row r="915" spans="3:16">
      <c r="C915" s="548">
        <f>IF(D877="","-",+C914+1)</f>
        <v>2048</v>
      </c>
      <c r="D915" s="506">
        <f t="shared" si="85"/>
        <v>1033920.5635879579</v>
      </c>
      <c r="E915" s="549">
        <f t="shared" si="86"/>
        <v>234095.22194444446</v>
      </c>
      <c r="F915" s="549">
        <f t="shared" si="79"/>
        <v>799825.34164351341</v>
      </c>
      <c r="G915" s="506">
        <f t="shared" si="80"/>
        <v>916872.95261573559</v>
      </c>
      <c r="H915" s="554">
        <f>+J878*G915+E915</f>
        <v>335250.69794954429</v>
      </c>
      <c r="I915" s="555">
        <f>+J879*G915+E915</f>
        <v>335250.69794954429</v>
      </c>
      <c r="J915" s="552">
        <f t="shared" si="81"/>
        <v>0</v>
      </c>
      <c r="K915" s="552"/>
      <c r="L915" s="572"/>
      <c r="M915" s="552">
        <f t="shared" si="82"/>
        <v>0</v>
      </c>
      <c r="N915" s="572"/>
      <c r="O915" s="552">
        <f t="shared" si="83"/>
        <v>0</v>
      </c>
      <c r="P915" s="552">
        <f t="shared" si="84"/>
        <v>0</v>
      </c>
    </row>
    <row r="916" spans="3:16">
      <c r="C916" s="548">
        <f>IF(D877="","-",+C915+1)</f>
        <v>2049</v>
      </c>
      <c r="D916" s="506">
        <f t="shared" si="85"/>
        <v>799825.34164351341</v>
      </c>
      <c r="E916" s="549">
        <f t="shared" si="86"/>
        <v>234095.22194444446</v>
      </c>
      <c r="F916" s="549">
        <f t="shared" si="79"/>
        <v>565730.11969906895</v>
      </c>
      <c r="G916" s="506">
        <f t="shared" si="80"/>
        <v>682777.73067129124</v>
      </c>
      <c r="H916" s="554">
        <f>+J878*G916+E916</f>
        <v>309423.7679056889</v>
      </c>
      <c r="I916" s="555">
        <f>+J879*G916+E916</f>
        <v>309423.7679056889</v>
      </c>
      <c r="J916" s="552">
        <f t="shared" si="81"/>
        <v>0</v>
      </c>
      <c r="K916" s="552"/>
      <c r="L916" s="572"/>
      <c r="M916" s="552">
        <f t="shared" si="82"/>
        <v>0</v>
      </c>
      <c r="N916" s="572"/>
      <c r="O916" s="552">
        <f t="shared" si="83"/>
        <v>0</v>
      </c>
      <c r="P916" s="552">
        <f t="shared" si="84"/>
        <v>0</v>
      </c>
    </row>
    <row r="917" spans="3:16">
      <c r="C917" s="548">
        <f>IF(D877="","-",+C916+1)</f>
        <v>2050</v>
      </c>
      <c r="D917" s="506">
        <f t="shared" si="85"/>
        <v>565730.11969906895</v>
      </c>
      <c r="E917" s="549">
        <f t="shared" si="86"/>
        <v>234095.22194444446</v>
      </c>
      <c r="F917" s="549">
        <f t="shared" si="79"/>
        <v>331634.89775462449</v>
      </c>
      <c r="G917" s="506">
        <f t="shared" si="80"/>
        <v>448682.50872684672</v>
      </c>
      <c r="H917" s="554">
        <f>+J878*G917+E917</f>
        <v>283596.83786183345</v>
      </c>
      <c r="I917" s="555">
        <f>+J879*G917+E917</f>
        <v>283596.83786183345</v>
      </c>
      <c r="J917" s="552">
        <f t="shared" si="81"/>
        <v>0</v>
      </c>
      <c r="K917" s="552"/>
      <c r="L917" s="572"/>
      <c r="M917" s="552">
        <f t="shared" si="82"/>
        <v>0</v>
      </c>
      <c r="N917" s="572"/>
      <c r="O917" s="552">
        <f t="shared" si="83"/>
        <v>0</v>
      </c>
      <c r="P917" s="552">
        <f t="shared" si="84"/>
        <v>0</v>
      </c>
    </row>
    <row r="918" spans="3:16">
      <c r="C918" s="548">
        <f>IF(D877="","-",+C917+1)</f>
        <v>2051</v>
      </c>
      <c r="D918" s="506">
        <f t="shared" si="85"/>
        <v>331634.89775462449</v>
      </c>
      <c r="E918" s="549">
        <f t="shared" si="86"/>
        <v>234095.22194444446</v>
      </c>
      <c r="F918" s="549">
        <f t="shared" si="79"/>
        <v>97539.675810180022</v>
      </c>
      <c r="G918" s="506">
        <f t="shared" si="80"/>
        <v>214587.28678240225</v>
      </c>
      <c r="H918" s="554">
        <f>+J878*G918+E918</f>
        <v>257769.90781797803</v>
      </c>
      <c r="I918" s="555">
        <f>+J879*G918+E918</f>
        <v>257769.90781797803</v>
      </c>
      <c r="J918" s="552">
        <f t="shared" si="81"/>
        <v>0</v>
      </c>
      <c r="K918" s="552"/>
      <c r="L918" s="572"/>
      <c r="M918" s="552">
        <f t="shared" si="82"/>
        <v>0</v>
      </c>
      <c r="N918" s="572"/>
      <c r="O918" s="552">
        <f t="shared" si="83"/>
        <v>0</v>
      </c>
      <c r="P918" s="552">
        <f t="shared" si="84"/>
        <v>0</v>
      </c>
    </row>
    <row r="919" spans="3:16">
      <c r="C919" s="548">
        <f>IF(D877="","-",+C918+1)</f>
        <v>2052</v>
      </c>
      <c r="D919" s="506">
        <f t="shared" si="85"/>
        <v>97539.675810180022</v>
      </c>
      <c r="E919" s="549">
        <f t="shared" si="86"/>
        <v>97539.675810180022</v>
      </c>
      <c r="F919" s="549">
        <f t="shared" si="79"/>
        <v>0</v>
      </c>
      <c r="G919" s="506">
        <f t="shared" si="80"/>
        <v>48769.837905090011</v>
      </c>
      <c r="H919" s="554">
        <f>+J878*G919+E919</f>
        <v>102920.28623598295</v>
      </c>
      <c r="I919" s="555">
        <f>+J879*G919+E919</f>
        <v>102920.28623598295</v>
      </c>
      <c r="J919" s="552">
        <f t="shared" si="81"/>
        <v>0</v>
      </c>
      <c r="K919" s="552"/>
      <c r="L919" s="572"/>
      <c r="M919" s="552">
        <f t="shared" si="82"/>
        <v>0</v>
      </c>
      <c r="N919" s="572"/>
      <c r="O919" s="552">
        <f t="shared" si="83"/>
        <v>0</v>
      </c>
      <c r="P919" s="552">
        <f t="shared" si="84"/>
        <v>0</v>
      </c>
    </row>
    <row r="920" spans="3:16">
      <c r="C920" s="548">
        <f>IF(D877="","-",+C919+1)</f>
        <v>2053</v>
      </c>
      <c r="D920" s="506">
        <f t="shared" si="85"/>
        <v>0</v>
      </c>
      <c r="E920" s="549">
        <f t="shared" si="86"/>
        <v>0</v>
      </c>
      <c r="F920" s="549">
        <f t="shared" si="79"/>
        <v>0</v>
      </c>
      <c r="G920" s="506">
        <f t="shared" si="80"/>
        <v>0</v>
      </c>
      <c r="H920" s="554">
        <f>+J878*G920+E920</f>
        <v>0</v>
      </c>
      <c r="I920" s="555">
        <f>+J879*G920+E920</f>
        <v>0</v>
      </c>
      <c r="J920" s="552">
        <f t="shared" si="81"/>
        <v>0</v>
      </c>
      <c r="K920" s="552"/>
      <c r="L920" s="572"/>
      <c r="M920" s="552">
        <f t="shared" si="82"/>
        <v>0</v>
      </c>
      <c r="N920" s="572"/>
      <c r="O920" s="552">
        <f t="shared" si="83"/>
        <v>0</v>
      </c>
      <c r="P920" s="552">
        <f t="shared" si="84"/>
        <v>0</v>
      </c>
    </row>
    <row r="921" spans="3:16">
      <c r="C921" s="548">
        <f>IF(D877="","-",+C920+1)</f>
        <v>2054</v>
      </c>
      <c r="D921" s="506">
        <f t="shared" si="85"/>
        <v>0</v>
      </c>
      <c r="E921" s="549">
        <f t="shared" si="86"/>
        <v>0</v>
      </c>
      <c r="F921" s="549">
        <f t="shared" si="79"/>
        <v>0</v>
      </c>
      <c r="G921" s="506">
        <f t="shared" si="80"/>
        <v>0</v>
      </c>
      <c r="H921" s="554">
        <f>+J878*G921+E921</f>
        <v>0</v>
      </c>
      <c r="I921" s="555">
        <f>+J879*G921+E921</f>
        <v>0</v>
      </c>
      <c r="J921" s="552">
        <f t="shared" si="81"/>
        <v>0</v>
      </c>
      <c r="K921" s="552"/>
      <c r="L921" s="572"/>
      <c r="M921" s="552">
        <f t="shared" si="82"/>
        <v>0</v>
      </c>
      <c r="N921" s="572"/>
      <c r="O921" s="552">
        <f t="shared" si="83"/>
        <v>0</v>
      </c>
      <c r="P921" s="552">
        <f t="shared" si="84"/>
        <v>0</v>
      </c>
    </row>
    <row r="922" spans="3:16">
      <c r="C922" s="548">
        <f>IF(D877="","-",+C921+1)</f>
        <v>2055</v>
      </c>
      <c r="D922" s="506">
        <f t="shared" si="85"/>
        <v>0</v>
      </c>
      <c r="E922" s="549">
        <f t="shared" si="86"/>
        <v>0</v>
      </c>
      <c r="F922" s="549">
        <f t="shared" si="79"/>
        <v>0</v>
      </c>
      <c r="G922" s="506">
        <f t="shared" si="80"/>
        <v>0</v>
      </c>
      <c r="H922" s="554">
        <f>+J878*G922+E922</f>
        <v>0</v>
      </c>
      <c r="I922" s="555">
        <f>+J879*G922+E922</f>
        <v>0</v>
      </c>
      <c r="J922" s="552">
        <f t="shared" si="81"/>
        <v>0</v>
      </c>
      <c r="K922" s="552"/>
      <c r="L922" s="572"/>
      <c r="M922" s="552">
        <f t="shared" si="82"/>
        <v>0</v>
      </c>
      <c r="N922" s="572"/>
      <c r="O922" s="552">
        <f t="shared" si="83"/>
        <v>0</v>
      </c>
      <c r="P922" s="552">
        <f t="shared" si="84"/>
        <v>0</v>
      </c>
    </row>
    <row r="923" spans="3:16">
      <c r="C923" s="548">
        <f>IF(D877="","-",+C922+1)</f>
        <v>2056</v>
      </c>
      <c r="D923" s="506">
        <f t="shared" si="85"/>
        <v>0</v>
      </c>
      <c r="E923" s="549">
        <f t="shared" si="86"/>
        <v>0</v>
      </c>
      <c r="F923" s="549">
        <f t="shared" si="79"/>
        <v>0</v>
      </c>
      <c r="G923" s="506">
        <f t="shared" si="80"/>
        <v>0</v>
      </c>
      <c r="H923" s="554">
        <f>+J878*G923+E923</f>
        <v>0</v>
      </c>
      <c r="I923" s="555">
        <f>+J879*G923+E923</f>
        <v>0</v>
      </c>
      <c r="J923" s="552">
        <f t="shared" si="81"/>
        <v>0</v>
      </c>
      <c r="K923" s="552"/>
      <c r="L923" s="572"/>
      <c r="M923" s="552">
        <f t="shared" si="82"/>
        <v>0</v>
      </c>
      <c r="N923" s="572"/>
      <c r="O923" s="552">
        <f t="shared" si="83"/>
        <v>0</v>
      </c>
      <c r="P923" s="552">
        <f t="shared" si="84"/>
        <v>0</v>
      </c>
    </row>
    <row r="924" spans="3:16">
      <c r="C924" s="548">
        <f>IF(D877="","-",+C923+1)</f>
        <v>2057</v>
      </c>
      <c r="D924" s="506">
        <f t="shared" si="85"/>
        <v>0</v>
      </c>
      <c r="E924" s="549">
        <f t="shared" si="86"/>
        <v>0</v>
      </c>
      <c r="F924" s="549">
        <f t="shared" si="79"/>
        <v>0</v>
      </c>
      <c r="G924" s="506">
        <f t="shared" si="80"/>
        <v>0</v>
      </c>
      <c r="H924" s="554">
        <f>+J878*G924+E924</f>
        <v>0</v>
      </c>
      <c r="I924" s="555">
        <f>+J879*G924+E924</f>
        <v>0</v>
      </c>
      <c r="J924" s="552">
        <f t="shared" si="81"/>
        <v>0</v>
      </c>
      <c r="K924" s="552"/>
      <c r="L924" s="572"/>
      <c r="M924" s="552">
        <f t="shared" si="82"/>
        <v>0</v>
      </c>
      <c r="N924" s="572"/>
      <c r="O924" s="552">
        <f t="shared" si="83"/>
        <v>0</v>
      </c>
      <c r="P924" s="552">
        <f t="shared" si="84"/>
        <v>0</v>
      </c>
    </row>
    <row r="925" spans="3:16">
      <c r="C925" s="548">
        <f>IF(D877="","-",+C924+1)</f>
        <v>2058</v>
      </c>
      <c r="D925" s="506">
        <f t="shared" si="85"/>
        <v>0</v>
      </c>
      <c r="E925" s="549">
        <f t="shared" si="86"/>
        <v>0</v>
      </c>
      <c r="F925" s="549">
        <f t="shared" si="79"/>
        <v>0</v>
      </c>
      <c r="G925" s="506">
        <f t="shared" si="80"/>
        <v>0</v>
      </c>
      <c r="H925" s="554">
        <f>+J878*G925+E925</f>
        <v>0</v>
      </c>
      <c r="I925" s="555">
        <f>+J879*G925+E925</f>
        <v>0</v>
      </c>
      <c r="J925" s="552">
        <f t="shared" si="81"/>
        <v>0</v>
      </c>
      <c r="K925" s="552"/>
      <c r="L925" s="572"/>
      <c r="M925" s="552">
        <f t="shared" si="82"/>
        <v>0</v>
      </c>
      <c r="N925" s="572"/>
      <c r="O925" s="552">
        <f t="shared" si="83"/>
        <v>0</v>
      </c>
      <c r="P925" s="552">
        <f t="shared" si="84"/>
        <v>0</v>
      </c>
    </row>
    <row r="926" spans="3:16">
      <c r="C926" s="548">
        <f>IF(D877="","-",+C925+1)</f>
        <v>2059</v>
      </c>
      <c r="D926" s="506">
        <f t="shared" si="85"/>
        <v>0</v>
      </c>
      <c r="E926" s="549">
        <f t="shared" si="86"/>
        <v>0</v>
      </c>
      <c r="F926" s="549">
        <f t="shared" si="79"/>
        <v>0</v>
      </c>
      <c r="G926" s="506">
        <f t="shared" si="80"/>
        <v>0</v>
      </c>
      <c r="H926" s="554">
        <f>+J878*G926+E926</f>
        <v>0</v>
      </c>
      <c r="I926" s="555">
        <f>+J879*G926+E926</f>
        <v>0</v>
      </c>
      <c r="J926" s="552">
        <f t="shared" si="81"/>
        <v>0</v>
      </c>
      <c r="K926" s="552"/>
      <c r="L926" s="572"/>
      <c r="M926" s="552">
        <f t="shared" si="82"/>
        <v>0</v>
      </c>
      <c r="N926" s="572"/>
      <c r="O926" s="552">
        <f t="shared" si="83"/>
        <v>0</v>
      </c>
      <c r="P926" s="552">
        <f t="shared" si="84"/>
        <v>0</v>
      </c>
    </row>
    <row r="927" spans="3:16">
      <c r="C927" s="548">
        <f>IF(D877="","-",+C926+1)</f>
        <v>2060</v>
      </c>
      <c r="D927" s="506">
        <f t="shared" si="85"/>
        <v>0</v>
      </c>
      <c r="E927" s="549">
        <f t="shared" si="86"/>
        <v>0</v>
      </c>
      <c r="F927" s="549">
        <f t="shared" si="79"/>
        <v>0</v>
      </c>
      <c r="G927" s="506">
        <f t="shared" si="80"/>
        <v>0</v>
      </c>
      <c r="H927" s="554">
        <f>+J878*G927+E927</f>
        <v>0</v>
      </c>
      <c r="I927" s="555">
        <f>+J879*G927+E927</f>
        <v>0</v>
      </c>
      <c r="J927" s="552">
        <f t="shared" si="81"/>
        <v>0</v>
      </c>
      <c r="K927" s="552"/>
      <c r="L927" s="572"/>
      <c r="M927" s="552">
        <f t="shared" si="82"/>
        <v>0</v>
      </c>
      <c r="N927" s="572"/>
      <c r="O927" s="552">
        <f t="shared" si="83"/>
        <v>0</v>
      </c>
      <c r="P927" s="552">
        <f t="shared" si="84"/>
        <v>0</v>
      </c>
    </row>
    <row r="928" spans="3:16">
      <c r="C928" s="548">
        <f>IF(D877="","-",+C927+1)</f>
        <v>2061</v>
      </c>
      <c r="D928" s="506">
        <f t="shared" si="85"/>
        <v>0</v>
      </c>
      <c r="E928" s="549">
        <f t="shared" si="86"/>
        <v>0</v>
      </c>
      <c r="F928" s="549">
        <f t="shared" si="79"/>
        <v>0</v>
      </c>
      <c r="G928" s="506">
        <f t="shared" si="80"/>
        <v>0</v>
      </c>
      <c r="H928" s="554">
        <f>+J878*G928+E928</f>
        <v>0</v>
      </c>
      <c r="I928" s="555">
        <f>+J879*G928+E928</f>
        <v>0</v>
      </c>
      <c r="J928" s="552">
        <f t="shared" si="81"/>
        <v>0</v>
      </c>
      <c r="K928" s="552"/>
      <c r="L928" s="572"/>
      <c r="M928" s="552">
        <f t="shared" si="82"/>
        <v>0</v>
      </c>
      <c r="N928" s="572"/>
      <c r="O928" s="552">
        <f t="shared" si="83"/>
        <v>0</v>
      </c>
      <c r="P928" s="552">
        <f t="shared" si="84"/>
        <v>0</v>
      </c>
    </row>
    <row r="929" spans="3:16">
      <c r="C929" s="548">
        <f>IF(D877="","-",+C928+1)</f>
        <v>2062</v>
      </c>
      <c r="D929" s="506">
        <f t="shared" si="85"/>
        <v>0</v>
      </c>
      <c r="E929" s="549">
        <f t="shared" si="86"/>
        <v>0</v>
      </c>
      <c r="F929" s="549">
        <f t="shared" si="79"/>
        <v>0</v>
      </c>
      <c r="G929" s="506">
        <f t="shared" si="80"/>
        <v>0</v>
      </c>
      <c r="H929" s="554">
        <f>+J878*G929+E929</f>
        <v>0</v>
      </c>
      <c r="I929" s="555">
        <f>+J879*G929+E929</f>
        <v>0</v>
      </c>
      <c r="J929" s="552">
        <f t="shared" si="81"/>
        <v>0</v>
      </c>
      <c r="K929" s="552"/>
      <c r="L929" s="572"/>
      <c r="M929" s="552">
        <f t="shared" si="82"/>
        <v>0</v>
      </c>
      <c r="N929" s="572"/>
      <c r="O929" s="552">
        <f t="shared" si="83"/>
        <v>0</v>
      </c>
      <c r="P929" s="552">
        <f t="shared" si="84"/>
        <v>0</v>
      </c>
    </row>
    <row r="930" spans="3:16">
      <c r="C930" s="548">
        <f>IF(D877="","-",+C929+1)</f>
        <v>2063</v>
      </c>
      <c r="D930" s="506">
        <f t="shared" si="85"/>
        <v>0</v>
      </c>
      <c r="E930" s="549">
        <f t="shared" si="86"/>
        <v>0</v>
      </c>
      <c r="F930" s="549">
        <f t="shared" si="79"/>
        <v>0</v>
      </c>
      <c r="G930" s="506">
        <f t="shared" si="80"/>
        <v>0</v>
      </c>
      <c r="H930" s="554">
        <f>+J878*G930+E930</f>
        <v>0</v>
      </c>
      <c r="I930" s="555">
        <f>+J879*G930+E930</f>
        <v>0</v>
      </c>
      <c r="J930" s="552">
        <f t="shared" si="81"/>
        <v>0</v>
      </c>
      <c r="K930" s="552"/>
      <c r="L930" s="572"/>
      <c r="M930" s="552">
        <f t="shared" si="82"/>
        <v>0</v>
      </c>
      <c r="N930" s="572"/>
      <c r="O930" s="552">
        <f t="shared" si="83"/>
        <v>0</v>
      </c>
      <c r="P930" s="552">
        <f t="shared" si="84"/>
        <v>0</v>
      </c>
    </row>
    <row r="931" spans="3:16">
      <c r="C931" s="548">
        <f>IF(D877="","-",+C930+1)</f>
        <v>2064</v>
      </c>
      <c r="D931" s="506">
        <f t="shared" si="85"/>
        <v>0</v>
      </c>
      <c r="E931" s="549">
        <f t="shared" si="86"/>
        <v>0</v>
      </c>
      <c r="F931" s="549">
        <f t="shared" si="79"/>
        <v>0</v>
      </c>
      <c r="G931" s="506">
        <f t="shared" si="80"/>
        <v>0</v>
      </c>
      <c r="H931" s="554">
        <f>+J878*G931+E931</f>
        <v>0</v>
      </c>
      <c r="I931" s="555">
        <f>+J879*G931+E931</f>
        <v>0</v>
      </c>
      <c r="J931" s="552">
        <f t="shared" si="81"/>
        <v>0</v>
      </c>
      <c r="K931" s="552"/>
      <c r="L931" s="572"/>
      <c r="M931" s="552">
        <f t="shared" si="82"/>
        <v>0</v>
      </c>
      <c r="N931" s="572"/>
      <c r="O931" s="552">
        <f t="shared" si="83"/>
        <v>0</v>
      </c>
      <c r="P931" s="552">
        <f t="shared" si="84"/>
        <v>0</v>
      </c>
    </row>
    <row r="932" spans="3:16">
      <c r="C932" s="548">
        <f>IF(D877="","-",+C931+1)</f>
        <v>2065</v>
      </c>
      <c r="D932" s="506">
        <f t="shared" si="85"/>
        <v>0</v>
      </c>
      <c r="E932" s="549">
        <f t="shared" si="86"/>
        <v>0</v>
      </c>
      <c r="F932" s="549">
        <f t="shared" si="79"/>
        <v>0</v>
      </c>
      <c r="G932" s="506">
        <f t="shared" si="80"/>
        <v>0</v>
      </c>
      <c r="H932" s="554">
        <f>+J878*G932+E932</f>
        <v>0</v>
      </c>
      <c r="I932" s="555">
        <f>+J879*G932+E932</f>
        <v>0</v>
      </c>
      <c r="J932" s="552">
        <f t="shared" si="81"/>
        <v>0</v>
      </c>
      <c r="K932" s="552"/>
      <c r="L932" s="572"/>
      <c r="M932" s="552">
        <f t="shared" si="82"/>
        <v>0</v>
      </c>
      <c r="N932" s="572"/>
      <c r="O932" s="552">
        <f t="shared" si="83"/>
        <v>0</v>
      </c>
      <c r="P932" s="552">
        <f t="shared" si="84"/>
        <v>0</v>
      </c>
    </row>
    <row r="933" spans="3:16">
      <c r="C933" s="548">
        <f>IF(D877="","-",+C932+1)</f>
        <v>2066</v>
      </c>
      <c r="D933" s="506">
        <f t="shared" si="85"/>
        <v>0</v>
      </c>
      <c r="E933" s="549">
        <f t="shared" si="86"/>
        <v>0</v>
      </c>
      <c r="F933" s="549">
        <f t="shared" si="79"/>
        <v>0</v>
      </c>
      <c r="G933" s="506">
        <f t="shared" si="80"/>
        <v>0</v>
      </c>
      <c r="H933" s="554">
        <f>+J878*G933+E933</f>
        <v>0</v>
      </c>
      <c r="I933" s="555">
        <f>+J879*G933+E933</f>
        <v>0</v>
      </c>
      <c r="J933" s="552">
        <f t="shared" si="81"/>
        <v>0</v>
      </c>
      <c r="K933" s="552"/>
      <c r="L933" s="572"/>
      <c r="M933" s="552">
        <f t="shared" si="82"/>
        <v>0</v>
      </c>
      <c r="N933" s="572"/>
      <c r="O933" s="552">
        <f t="shared" si="83"/>
        <v>0</v>
      </c>
      <c r="P933" s="552">
        <f t="shared" si="84"/>
        <v>0</v>
      </c>
    </row>
    <row r="934" spans="3:16">
      <c r="C934" s="548">
        <f>IF(D877="","-",+C933+1)</f>
        <v>2067</v>
      </c>
      <c r="D934" s="506">
        <f t="shared" si="85"/>
        <v>0</v>
      </c>
      <c r="E934" s="549">
        <f t="shared" si="86"/>
        <v>0</v>
      </c>
      <c r="F934" s="549">
        <f t="shared" si="79"/>
        <v>0</v>
      </c>
      <c r="G934" s="506">
        <f t="shared" si="80"/>
        <v>0</v>
      </c>
      <c r="H934" s="554">
        <f>+J878*G934+E934</f>
        <v>0</v>
      </c>
      <c r="I934" s="555">
        <f>+J879*G934+E934</f>
        <v>0</v>
      </c>
      <c r="J934" s="552">
        <f t="shared" si="81"/>
        <v>0</v>
      </c>
      <c r="K934" s="552"/>
      <c r="L934" s="572"/>
      <c r="M934" s="552">
        <f t="shared" si="82"/>
        <v>0</v>
      </c>
      <c r="N934" s="572"/>
      <c r="O934" s="552">
        <f t="shared" si="83"/>
        <v>0</v>
      </c>
      <c r="P934" s="552">
        <f t="shared" si="84"/>
        <v>0</v>
      </c>
    </row>
    <row r="935" spans="3:16">
      <c r="C935" s="548">
        <f>IF(D877="","-",+C934+1)</f>
        <v>2068</v>
      </c>
      <c r="D935" s="506">
        <f t="shared" si="85"/>
        <v>0</v>
      </c>
      <c r="E935" s="549">
        <f t="shared" si="86"/>
        <v>0</v>
      </c>
      <c r="F935" s="549">
        <f t="shared" si="79"/>
        <v>0</v>
      </c>
      <c r="G935" s="506">
        <f t="shared" si="80"/>
        <v>0</v>
      </c>
      <c r="H935" s="554">
        <f>+J878*G935+E935</f>
        <v>0</v>
      </c>
      <c r="I935" s="555">
        <f>+J879*G935+E935</f>
        <v>0</v>
      </c>
      <c r="J935" s="552">
        <f t="shared" si="81"/>
        <v>0</v>
      </c>
      <c r="K935" s="552"/>
      <c r="L935" s="572"/>
      <c r="M935" s="552">
        <f t="shared" si="82"/>
        <v>0</v>
      </c>
      <c r="N935" s="572"/>
      <c r="O935" s="552">
        <f t="shared" si="83"/>
        <v>0</v>
      </c>
      <c r="P935" s="552">
        <f t="shared" si="84"/>
        <v>0</v>
      </c>
    </row>
    <row r="936" spans="3:16">
      <c r="C936" s="548">
        <f>IF(D877="","-",+C935+1)</f>
        <v>2069</v>
      </c>
      <c r="D936" s="506">
        <f t="shared" si="85"/>
        <v>0</v>
      </c>
      <c r="E936" s="549">
        <f t="shared" si="86"/>
        <v>0</v>
      </c>
      <c r="F936" s="549">
        <f t="shared" si="79"/>
        <v>0</v>
      </c>
      <c r="G936" s="506">
        <f t="shared" si="80"/>
        <v>0</v>
      </c>
      <c r="H936" s="554">
        <f>+J878*G936+E936</f>
        <v>0</v>
      </c>
      <c r="I936" s="555">
        <f>+J879*G936+E936</f>
        <v>0</v>
      </c>
      <c r="J936" s="552">
        <f t="shared" si="81"/>
        <v>0</v>
      </c>
      <c r="K936" s="552"/>
      <c r="L936" s="572"/>
      <c r="M936" s="552">
        <f t="shared" si="82"/>
        <v>0</v>
      </c>
      <c r="N936" s="572"/>
      <c r="O936" s="552">
        <f t="shared" si="83"/>
        <v>0</v>
      </c>
      <c r="P936" s="552">
        <f t="shared" si="84"/>
        <v>0</v>
      </c>
    </row>
    <row r="937" spans="3:16">
      <c r="C937" s="548">
        <f>IF(D877="","-",+C936+1)</f>
        <v>2070</v>
      </c>
      <c r="D937" s="506">
        <f t="shared" si="85"/>
        <v>0</v>
      </c>
      <c r="E937" s="549">
        <f t="shared" si="86"/>
        <v>0</v>
      </c>
      <c r="F937" s="549">
        <f t="shared" si="79"/>
        <v>0</v>
      </c>
      <c r="G937" s="506">
        <f t="shared" si="80"/>
        <v>0</v>
      </c>
      <c r="H937" s="554">
        <f>+J878*G937+E937</f>
        <v>0</v>
      </c>
      <c r="I937" s="555">
        <f>+J879*G937+E937</f>
        <v>0</v>
      </c>
      <c r="J937" s="552">
        <f t="shared" si="81"/>
        <v>0</v>
      </c>
      <c r="K937" s="552"/>
      <c r="L937" s="572"/>
      <c r="M937" s="552">
        <f t="shared" si="82"/>
        <v>0</v>
      </c>
      <c r="N937" s="572"/>
      <c r="O937" s="552">
        <f t="shared" si="83"/>
        <v>0</v>
      </c>
      <c r="P937" s="552">
        <f t="shared" si="84"/>
        <v>0</v>
      </c>
    </row>
    <row r="938" spans="3:16">
      <c r="C938" s="548">
        <f>IF(D877="","-",+C937+1)</f>
        <v>2071</v>
      </c>
      <c r="D938" s="506">
        <f t="shared" si="85"/>
        <v>0</v>
      </c>
      <c r="E938" s="549">
        <f t="shared" si="86"/>
        <v>0</v>
      </c>
      <c r="F938" s="549">
        <f t="shared" si="79"/>
        <v>0</v>
      </c>
      <c r="G938" s="506">
        <f t="shared" si="80"/>
        <v>0</v>
      </c>
      <c r="H938" s="554">
        <f>+J878*G938+E938</f>
        <v>0</v>
      </c>
      <c r="I938" s="555">
        <f>+J879*G938+E938</f>
        <v>0</v>
      </c>
      <c r="J938" s="552">
        <f t="shared" si="81"/>
        <v>0</v>
      </c>
      <c r="K938" s="552"/>
      <c r="L938" s="572"/>
      <c r="M938" s="552">
        <f t="shared" si="82"/>
        <v>0</v>
      </c>
      <c r="N938" s="572"/>
      <c r="O938" s="552">
        <f t="shared" si="83"/>
        <v>0</v>
      </c>
      <c r="P938" s="552">
        <f t="shared" si="84"/>
        <v>0</v>
      </c>
    </row>
    <row r="939" spans="3:16">
      <c r="C939" s="548">
        <f>IF(D877="","-",+C938+1)</f>
        <v>2072</v>
      </c>
      <c r="D939" s="506">
        <f t="shared" si="85"/>
        <v>0</v>
      </c>
      <c r="E939" s="549">
        <f t="shared" si="86"/>
        <v>0</v>
      </c>
      <c r="F939" s="549">
        <f t="shared" si="79"/>
        <v>0</v>
      </c>
      <c r="G939" s="506">
        <f t="shared" si="80"/>
        <v>0</v>
      </c>
      <c r="H939" s="554">
        <f>+J878*G939+E939</f>
        <v>0</v>
      </c>
      <c r="I939" s="555">
        <f>+J879*G939+E939</f>
        <v>0</v>
      </c>
      <c r="J939" s="552">
        <f t="shared" si="81"/>
        <v>0</v>
      </c>
      <c r="K939" s="552"/>
      <c r="L939" s="572"/>
      <c r="M939" s="552">
        <f t="shared" si="82"/>
        <v>0</v>
      </c>
      <c r="N939" s="572"/>
      <c r="O939" s="552">
        <f t="shared" si="83"/>
        <v>0</v>
      </c>
      <c r="P939" s="552">
        <f t="shared" si="84"/>
        <v>0</v>
      </c>
    </row>
    <row r="940" spans="3:16">
      <c r="C940" s="548">
        <f>IF(D877="","-",+C939+1)</f>
        <v>2073</v>
      </c>
      <c r="D940" s="506">
        <f t="shared" si="85"/>
        <v>0</v>
      </c>
      <c r="E940" s="549">
        <f t="shared" si="86"/>
        <v>0</v>
      </c>
      <c r="F940" s="549">
        <f t="shared" si="79"/>
        <v>0</v>
      </c>
      <c r="G940" s="506">
        <f t="shared" si="80"/>
        <v>0</v>
      </c>
      <c r="H940" s="554">
        <f>+J878*G940+E940</f>
        <v>0</v>
      </c>
      <c r="I940" s="555">
        <f>+J879*G940+E940</f>
        <v>0</v>
      </c>
      <c r="J940" s="552">
        <f t="shared" si="81"/>
        <v>0</v>
      </c>
      <c r="K940" s="552"/>
      <c r="L940" s="572"/>
      <c r="M940" s="552">
        <f t="shared" si="82"/>
        <v>0</v>
      </c>
      <c r="N940" s="572"/>
      <c r="O940" s="552">
        <f t="shared" si="83"/>
        <v>0</v>
      </c>
      <c r="P940" s="552">
        <f t="shared" si="84"/>
        <v>0</v>
      </c>
    </row>
    <row r="941" spans="3:16">
      <c r="C941" s="548">
        <f>IF(D877="","-",+C940+1)</f>
        <v>2074</v>
      </c>
      <c r="D941" s="506">
        <f t="shared" si="85"/>
        <v>0</v>
      </c>
      <c r="E941" s="549">
        <f t="shared" si="86"/>
        <v>0</v>
      </c>
      <c r="F941" s="549">
        <f t="shared" si="79"/>
        <v>0</v>
      </c>
      <c r="G941" s="506">
        <f t="shared" si="80"/>
        <v>0</v>
      </c>
      <c r="H941" s="554">
        <f>+J878*G941+E941</f>
        <v>0</v>
      </c>
      <c r="I941" s="555">
        <f>+J879*G941+E941</f>
        <v>0</v>
      </c>
      <c r="J941" s="552">
        <f t="shared" si="81"/>
        <v>0</v>
      </c>
      <c r="K941" s="552"/>
      <c r="L941" s="572"/>
      <c r="M941" s="552">
        <f t="shared" si="82"/>
        <v>0</v>
      </c>
      <c r="N941" s="572"/>
      <c r="O941" s="552">
        <f t="shared" si="83"/>
        <v>0</v>
      </c>
      <c r="P941" s="552">
        <f t="shared" si="84"/>
        <v>0</v>
      </c>
    </row>
    <row r="942" spans="3:16" ht="13.5" thickBot="1">
      <c r="C942" s="558">
        <f>IF(D877="","-",+C941+1)</f>
        <v>2075</v>
      </c>
      <c r="D942" s="559">
        <f t="shared" si="85"/>
        <v>0</v>
      </c>
      <c r="E942" s="560">
        <f t="shared" si="86"/>
        <v>0</v>
      </c>
      <c r="F942" s="560">
        <f t="shared" si="79"/>
        <v>0</v>
      </c>
      <c r="G942" s="559">
        <f t="shared" si="80"/>
        <v>0</v>
      </c>
      <c r="H942" s="561">
        <f>+J878*G942+E942</f>
        <v>0</v>
      </c>
      <c r="I942" s="561">
        <f>+J879*G942+E942</f>
        <v>0</v>
      </c>
      <c r="J942" s="562">
        <f t="shared" si="81"/>
        <v>0</v>
      </c>
      <c r="K942" s="552"/>
      <c r="L942" s="573"/>
      <c r="M942" s="562">
        <f t="shared" si="82"/>
        <v>0</v>
      </c>
      <c r="N942" s="573"/>
      <c r="O942" s="562">
        <f t="shared" si="83"/>
        <v>0</v>
      </c>
      <c r="P942" s="562">
        <f t="shared" si="84"/>
        <v>0</v>
      </c>
    </row>
    <row r="943" spans="3:16">
      <c r="C943" s="506" t="s">
        <v>91</v>
      </c>
      <c r="D943" s="503"/>
      <c r="E943" s="503">
        <f>SUM(E883:E942)</f>
        <v>8427427.9900000002</v>
      </c>
      <c r="F943" s="503"/>
      <c r="G943" s="503"/>
      <c r="H943" s="503">
        <f>SUM(H883:H942)</f>
        <v>25550682.609076127</v>
      </c>
      <c r="I943" s="503">
        <f>SUM(I883:I942)</f>
        <v>25550682.609076127</v>
      </c>
      <c r="J943" s="503">
        <f>SUM(J883:J942)</f>
        <v>0</v>
      </c>
      <c r="K943" s="503"/>
      <c r="L943" s="503"/>
      <c r="M943" s="503"/>
      <c r="N943" s="503"/>
      <c r="O943" s="503"/>
    </row>
    <row r="944" spans="3:16">
      <c r="D944" s="47"/>
      <c r="E944" s="3"/>
      <c r="F944" s="3"/>
      <c r="G944" s="3"/>
      <c r="H944" s="3"/>
      <c r="I944" s="490"/>
      <c r="J944" s="490"/>
      <c r="K944" s="503"/>
      <c r="L944" s="490"/>
      <c r="M944" s="490"/>
      <c r="N944" s="490"/>
      <c r="O944" s="490"/>
    </row>
    <row r="945" spans="2:16">
      <c r="C945" s="3" t="s">
        <v>13</v>
      </c>
      <c r="D945" s="47"/>
      <c r="E945" s="3"/>
      <c r="F945" s="3"/>
      <c r="G945" s="3"/>
      <c r="H945" s="3"/>
      <c r="I945" s="490"/>
      <c r="J945" s="490"/>
      <c r="K945" s="503"/>
      <c r="L945" s="490"/>
      <c r="M945" s="490"/>
      <c r="N945" s="490"/>
      <c r="O945" s="490"/>
    </row>
    <row r="946" spans="2:16">
      <c r="C946" s="3"/>
      <c r="D946" s="47"/>
      <c r="E946" s="3"/>
      <c r="F946" s="3"/>
      <c r="G946" s="3"/>
      <c r="H946" s="3"/>
      <c r="I946" s="490"/>
      <c r="J946" s="490"/>
      <c r="K946" s="503"/>
      <c r="L946" s="490"/>
      <c r="M946" s="490"/>
      <c r="N946" s="490"/>
      <c r="O946" s="490"/>
    </row>
    <row r="947" spans="2:16">
      <c r="C947" s="518" t="s">
        <v>14</v>
      </c>
      <c r="D947" s="506"/>
      <c r="E947" s="506"/>
      <c r="F947" s="506"/>
      <c r="G947" s="506"/>
      <c r="H947" s="503"/>
      <c r="I947" s="503"/>
      <c r="J947" s="564"/>
      <c r="K947" s="564"/>
      <c r="L947" s="564"/>
      <c r="M947" s="564"/>
      <c r="N947" s="564"/>
      <c r="O947" s="564"/>
    </row>
    <row r="948" spans="2:16">
      <c r="C948" s="507" t="s">
        <v>271</v>
      </c>
      <c r="D948" s="506"/>
      <c r="E948" s="506"/>
      <c r="F948" s="506"/>
      <c r="G948" s="506"/>
      <c r="H948" s="503"/>
      <c r="I948" s="503"/>
      <c r="J948" s="564"/>
      <c r="K948" s="564"/>
      <c r="L948" s="564"/>
      <c r="M948" s="564"/>
      <c r="N948" s="564"/>
      <c r="O948" s="564"/>
    </row>
    <row r="949" spans="2:16">
      <c r="C949" s="507" t="s">
        <v>92</v>
      </c>
      <c r="D949" s="506"/>
      <c r="E949" s="506"/>
      <c r="F949" s="506"/>
      <c r="G949" s="506"/>
      <c r="H949" s="503"/>
      <c r="I949" s="503"/>
      <c r="J949" s="564"/>
      <c r="K949" s="564"/>
      <c r="L949" s="564"/>
      <c r="M949" s="564"/>
      <c r="N949" s="564"/>
      <c r="O949" s="564"/>
    </row>
    <row r="950" spans="2:16">
      <c r="C950" s="507"/>
      <c r="D950" s="506"/>
      <c r="E950" s="506"/>
      <c r="F950" s="506"/>
      <c r="G950" s="506"/>
      <c r="H950" s="503"/>
      <c r="I950" s="503"/>
      <c r="J950" s="564"/>
      <c r="K950" s="564"/>
      <c r="L950" s="564"/>
      <c r="M950" s="564"/>
      <c r="N950" s="564"/>
      <c r="O950" s="564"/>
    </row>
    <row r="951" spans="2:16" ht="18">
      <c r="B951" s="3"/>
      <c r="C951" s="3"/>
      <c r="D951" s="47"/>
      <c r="E951" s="3"/>
      <c r="F951" s="489"/>
      <c r="G951" s="489"/>
      <c r="H951" s="3"/>
      <c r="I951" s="490"/>
      <c r="L951" s="398"/>
      <c r="M951" s="398"/>
      <c r="N951" s="398"/>
      <c r="O951" s="398" t="str">
        <f>"Page "&amp;SUM(Q$8:Q951)&amp;" of "</f>
        <v xml:space="preserve">Page 10 of </v>
      </c>
      <c r="P951" s="448">
        <f>COUNT(Q$8:Q$56657)</f>
        <v>10</v>
      </c>
    </row>
    <row r="952" spans="2:16">
      <c r="B952" s="3"/>
      <c r="C952" s="3"/>
      <c r="D952" s="47"/>
      <c r="E952" s="3"/>
      <c r="F952" s="3"/>
      <c r="G952" s="3"/>
      <c r="H952" s="3"/>
      <c r="I952" s="490"/>
      <c r="J952" s="3"/>
      <c r="K952" s="3"/>
    </row>
    <row r="953" spans="2:16" ht="18">
      <c r="B953" s="449" t="s">
        <v>472</v>
      </c>
      <c r="C953" s="122" t="s">
        <v>93</v>
      </c>
      <c r="D953" s="47"/>
      <c r="E953" s="3"/>
      <c r="F953" s="3"/>
      <c r="G953" s="3"/>
      <c r="H953" s="3"/>
      <c r="I953" s="490"/>
      <c r="J953" s="490"/>
      <c r="K953" s="503"/>
      <c r="L953" s="490"/>
      <c r="M953" s="490"/>
      <c r="N953" s="490"/>
      <c r="O953" s="490"/>
    </row>
    <row r="954" spans="2:16" ht="18.75">
      <c r="B954" s="449"/>
      <c r="C954" s="6"/>
      <c r="D954" s="47"/>
      <c r="E954" s="3"/>
      <c r="F954" s="3"/>
      <c r="G954" s="3"/>
      <c r="H954" s="3"/>
      <c r="I954" s="490"/>
      <c r="J954" s="490"/>
      <c r="K954" s="503"/>
      <c r="L954" s="490"/>
      <c r="M954" s="490"/>
      <c r="N954" s="490"/>
      <c r="O954" s="490"/>
    </row>
    <row r="955" spans="2:16" ht="18.75">
      <c r="B955" s="449"/>
      <c r="C955" s="6" t="s">
        <v>94</v>
      </c>
      <c r="D955" s="47"/>
      <c r="E955" s="3"/>
      <c r="F955" s="3"/>
      <c r="G955" s="3"/>
      <c r="H955" s="3"/>
      <c r="I955" s="490"/>
      <c r="J955" s="490"/>
      <c r="K955" s="503"/>
      <c r="L955" s="490"/>
      <c r="M955" s="490"/>
      <c r="N955" s="490"/>
      <c r="O955" s="490"/>
    </row>
    <row r="956" spans="2:16" ht="15.75" thickBot="1">
      <c r="C956" s="132"/>
      <c r="D956" s="47"/>
      <c r="E956" s="3"/>
      <c r="F956" s="3"/>
      <c r="G956" s="3"/>
      <c r="H956" s="3"/>
      <c r="I956" s="490"/>
      <c r="J956" s="490"/>
      <c r="K956" s="503"/>
      <c r="L956" s="490"/>
      <c r="M956" s="490"/>
      <c r="N956" s="490"/>
      <c r="O956" s="490"/>
    </row>
    <row r="957" spans="2:16" ht="15.75">
      <c r="C957" s="451" t="s">
        <v>95</v>
      </c>
      <c r="D957" s="47"/>
      <c r="E957" s="3"/>
      <c r="F957" s="3"/>
      <c r="G957" s="3"/>
      <c r="H957" s="566"/>
      <c r="I957" s="3" t="s">
        <v>74</v>
      </c>
      <c r="J957" s="3"/>
      <c r="K957" s="3"/>
      <c r="L957" s="593">
        <f>+J963</f>
        <v>2025</v>
      </c>
      <c r="M957" s="576" t="s">
        <v>52</v>
      </c>
      <c r="N957" s="576" t="s">
        <v>53</v>
      </c>
      <c r="O957" s="577" t="s">
        <v>55</v>
      </c>
    </row>
    <row r="958" spans="2:16" ht="15.75">
      <c r="C958" s="451"/>
      <c r="D958" s="47"/>
      <c r="E958" s="3"/>
      <c r="F958" s="3"/>
      <c r="H958" s="3"/>
      <c r="I958" s="513"/>
      <c r="J958" s="513"/>
      <c r="K958" s="514"/>
      <c r="L958" s="594" t="s">
        <v>243</v>
      </c>
      <c r="M958" s="595">
        <f>VLOOKUP(J963,C970:P1029,10)</f>
        <v>3148735.8169052927</v>
      </c>
      <c r="N958" s="595">
        <f>VLOOKUP(J963,C970:P1029,12)</f>
        <v>3148735.8169052927</v>
      </c>
      <c r="O958" s="596">
        <f>+N958-M958</f>
        <v>0</v>
      </c>
    </row>
    <row r="959" spans="2:16">
      <c r="C959" s="518" t="s">
        <v>96</v>
      </c>
      <c r="D959" s="1210" t="s">
        <v>988</v>
      </c>
      <c r="E959" s="1210"/>
      <c r="F959" s="1210"/>
      <c r="G959" s="1210"/>
      <c r="H959" s="1210"/>
      <c r="I959" s="1210"/>
      <c r="J959" s="490"/>
      <c r="K959" s="503"/>
      <c r="L959" s="594" t="s">
        <v>244</v>
      </c>
      <c r="M959" s="597">
        <f>VLOOKUP(J963,C970:P1029,6)</f>
        <v>3078466.1082281317</v>
      </c>
      <c r="N959" s="597">
        <f>VLOOKUP(J963,C970:P1029,7)</f>
        <v>3078466.1082281317</v>
      </c>
      <c r="O959" s="598">
        <f>+N959-M959</f>
        <v>0</v>
      </c>
    </row>
    <row r="960" spans="2:16" ht="13.5" thickBot="1">
      <c r="C960" s="522"/>
      <c r="D960" s="1210"/>
      <c r="E960" s="1210"/>
      <c r="F960" s="1210"/>
      <c r="G960" s="1210"/>
      <c r="H960" s="1210"/>
      <c r="I960" s="1210"/>
      <c r="J960" s="490"/>
      <c r="K960" s="503"/>
      <c r="L960" s="533" t="s">
        <v>245</v>
      </c>
      <c r="M960" s="599">
        <f>+M959-M958</f>
        <v>-70269.708677161019</v>
      </c>
      <c r="N960" s="599">
        <f>+N959-N958</f>
        <v>-70269.708677161019</v>
      </c>
      <c r="O960" s="600">
        <f>+O959-O958</f>
        <v>0</v>
      </c>
    </row>
    <row r="961" spans="2:16" ht="13.5" thickBot="1">
      <c r="C961" s="522"/>
      <c r="D961" s="3"/>
      <c r="E961" s="524"/>
      <c r="F961" s="524"/>
      <c r="G961" s="524"/>
      <c r="H961" s="524"/>
      <c r="I961" s="524"/>
      <c r="J961" s="524"/>
      <c r="K961" s="524"/>
      <c r="L961" s="524"/>
      <c r="M961" s="524"/>
      <c r="N961" s="524"/>
      <c r="O961" s="524"/>
    </row>
    <row r="962" spans="2:16" ht="13.5" thickBot="1">
      <c r="C962" s="525" t="s">
        <v>97</v>
      </c>
      <c r="D962" s="526"/>
      <c r="E962" s="526"/>
      <c r="F962" s="526"/>
      <c r="G962" s="526"/>
      <c r="H962" s="526"/>
      <c r="I962" s="526"/>
      <c r="J962" s="526"/>
    </row>
    <row r="963" spans="2:16" ht="15">
      <c r="C963" s="528" t="s">
        <v>75</v>
      </c>
      <c r="D963" s="568">
        <v>23928051.709999997</v>
      </c>
      <c r="E963" s="3" t="s">
        <v>76</v>
      </c>
      <c r="H963" s="47"/>
      <c r="I963" s="47"/>
      <c r="J963" s="529">
        <f>$J$93</f>
        <v>2025</v>
      </c>
      <c r="K963" s="70"/>
      <c r="L963" s="1211" t="s">
        <v>77</v>
      </c>
      <c r="M963" s="1211"/>
      <c r="N963" s="1211"/>
      <c r="O963" s="1211"/>
    </row>
    <row r="964" spans="2:16">
      <c r="C964" s="528" t="s">
        <v>78</v>
      </c>
      <c r="D964" s="569">
        <v>2022</v>
      </c>
      <c r="E964" s="528" t="s">
        <v>79</v>
      </c>
      <c r="F964" s="47"/>
      <c r="G964" s="47"/>
      <c r="I964"/>
      <c r="J964" s="570">
        <f>IF(H957="",0,$F$17)</f>
        <v>0</v>
      </c>
      <c r="K964" s="530"/>
      <c r="L964" s="503" t="s">
        <v>285</v>
      </c>
    </row>
    <row r="965" spans="2:16">
      <c r="C965" s="528" t="s">
        <v>80</v>
      </c>
      <c r="D965" s="568">
        <v>5</v>
      </c>
      <c r="E965" s="528" t="s">
        <v>81</v>
      </c>
      <c r="F965" s="47"/>
      <c r="G965" s="47"/>
      <c r="I965"/>
      <c r="J965" s="531">
        <f>$F$70</f>
        <v>0.11032660055737779</v>
      </c>
      <c r="K965" s="489"/>
      <c r="L965" s="3" t="str">
        <f>"          INPUT TRUE-UP ARR (WITH &amp; WITHOUT INCENTIVES) FROM EACH PRIOR YEAR"</f>
        <v xml:space="preserve">          INPUT TRUE-UP ARR (WITH &amp; WITHOUT INCENTIVES) FROM EACH PRIOR YEAR</v>
      </c>
    </row>
    <row r="966" spans="2:16">
      <c r="C966" s="528" t="s">
        <v>82</v>
      </c>
      <c r="D966" s="532">
        <f>H$79</f>
        <v>36</v>
      </c>
      <c r="E966" s="528" t="s">
        <v>83</v>
      </c>
      <c r="F966" s="47"/>
      <c r="G966" s="47"/>
      <c r="I966"/>
      <c r="J966" s="531">
        <f>IF(H957="",+J965,$F$69)</f>
        <v>0.11032660055737779</v>
      </c>
      <c r="K966" s="489"/>
      <c r="L966" s="3" t="s">
        <v>165</v>
      </c>
      <c r="M966" s="489"/>
      <c r="N966" s="489"/>
      <c r="O966" s="489"/>
    </row>
    <row r="967" spans="2:16" ht="13.5" thickBot="1">
      <c r="C967" s="528" t="s">
        <v>84</v>
      </c>
      <c r="D967" s="969" t="s">
        <v>812</v>
      </c>
      <c r="E967" s="533" t="s">
        <v>85</v>
      </c>
      <c r="F967" s="534"/>
      <c r="G967" s="534"/>
      <c r="H967" s="535"/>
      <c r="I967" s="535"/>
      <c r="J967" s="521">
        <f>IF(D963=0,0,D963/D966)</f>
        <v>664668.10305555549</v>
      </c>
      <c r="K967" s="503"/>
      <c r="L967" s="503" t="s">
        <v>166</v>
      </c>
      <c r="M967" s="503"/>
      <c r="N967" s="503"/>
      <c r="O967" s="503"/>
    </row>
    <row r="968" spans="2:16" ht="38.25">
      <c r="B968" s="450"/>
      <c r="C968" s="536" t="s">
        <v>75</v>
      </c>
      <c r="D968" s="537" t="s">
        <v>86</v>
      </c>
      <c r="E968" s="538" t="s">
        <v>87</v>
      </c>
      <c r="F968" s="537" t="s">
        <v>88</v>
      </c>
      <c r="G968" s="537" t="s">
        <v>246</v>
      </c>
      <c r="H968" s="538" t="s">
        <v>159</v>
      </c>
      <c r="I968" s="539" t="s">
        <v>159</v>
      </c>
      <c r="J968" s="536" t="s">
        <v>98</v>
      </c>
      <c r="K968" s="540"/>
      <c r="L968" s="538" t="s">
        <v>161</v>
      </c>
      <c r="M968" s="538" t="s">
        <v>167</v>
      </c>
      <c r="N968" s="538" t="s">
        <v>161</v>
      </c>
      <c r="O968" s="538" t="s">
        <v>169</v>
      </c>
      <c r="P968" s="538" t="s">
        <v>89</v>
      </c>
    </row>
    <row r="969" spans="2:16" ht="13.5" thickBot="1">
      <c r="C969" s="542" t="s">
        <v>475</v>
      </c>
      <c r="D969" s="543" t="s">
        <v>476</v>
      </c>
      <c r="E969" s="542" t="s">
        <v>369</v>
      </c>
      <c r="F969" s="543" t="s">
        <v>476</v>
      </c>
      <c r="G969" s="543" t="s">
        <v>476</v>
      </c>
      <c r="H969" s="544" t="s">
        <v>101</v>
      </c>
      <c r="I969" s="545" t="s">
        <v>103</v>
      </c>
      <c r="J969" s="542" t="s">
        <v>15</v>
      </c>
      <c r="K969" s="546"/>
      <c r="L969" s="544" t="s">
        <v>90</v>
      </c>
      <c r="M969" s="544" t="s">
        <v>90</v>
      </c>
      <c r="N969" s="544" t="s">
        <v>263</v>
      </c>
      <c r="O969" s="544" t="s">
        <v>263</v>
      </c>
      <c r="P969" s="544" t="s">
        <v>263</v>
      </c>
    </row>
    <row r="970" spans="2:16">
      <c r="C970" s="548">
        <f>IF(D964= "","-",D964)</f>
        <v>2022</v>
      </c>
      <c r="D970" s="506">
        <f>+D963</f>
        <v>23928051.709999997</v>
      </c>
      <c r="E970" s="554">
        <f>+J967/12*(12-D965)</f>
        <v>387723.06011574069</v>
      </c>
      <c r="F970" s="601">
        <f t="shared" ref="F970:F1029" si="87">+D970-E970</f>
        <v>23540328.649884257</v>
      </c>
      <c r="G970" s="506">
        <f t="shared" ref="G970:G1029" si="88">+(D970+F970)/2</f>
        <v>23734190.179942127</v>
      </c>
      <c r="H970" s="550">
        <f>+J965*G970+E970</f>
        <v>3006235.5796510545</v>
      </c>
      <c r="I970" s="551">
        <f>+J966*G970+E970</f>
        <v>3006235.5796510545</v>
      </c>
      <c r="J970" s="552">
        <f t="shared" ref="J970:J1029" si="89">+I970-H970</f>
        <v>0</v>
      </c>
      <c r="K970" s="552"/>
      <c r="L970" s="571">
        <v>0</v>
      </c>
      <c r="M970" s="602">
        <f t="shared" ref="M970:M1029" si="90">IF(L970&lt;&gt;0,+H970-L970,0)</f>
        <v>0</v>
      </c>
      <c r="N970" s="571">
        <v>0</v>
      </c>
      <c r="O970" s="602">
        <f t="shared" ref="O970:O1029" si="91">IF(N970&lt;&gt;0,+I970-N970,0)</f>
        <v>0</v>
      </c>
      <c r="P970" s="602">
        <f t="shared" ref="P970:P1029" si="92">+O970-M970</f>
        <v>0</v>
      </c>
    </row>
    <row r="971" spans="2:16">
      <c r="C971" s="548">
        <f>IF(D964="","-",+C970+1)</f>
        <v>2023</v>
      </c>
      <c r="D971" s="970">
        <f t="shared" ref="D971:D1029" si="93">F970</f>
        <v>23540328.649884257</v>
      </c>
      <c r="E971" s="549">
        <f>IF(D971&gt;$J$967,$J$967,D971)</f>
        <v>664668.10305555549</v>
      </c>
      <c r="F971" s="549">
        <f t="shared" si="87"/>
        <v>22875660.546828702</v>
      </c>
      <c r="G971" s="506">
        <f t="shared" si="88"/>
        <v>23207994.598356478</v>
      </c>
      <c r="H971" s="554">
        <f>+J965*G971+E971</f>
        <v>3225127.2528462121</v>
      </c>
      <c r="I971" s="555">
        <f>+J966*G971+E971</f>
        <v>3225127.2528462121</v>
      </c>
      <c r="J971" s="552">
        <f t="shared" si="89"/>
        <v>0</v>
      </c>
      <c r="K971" s="552"/>
      <c r="L971" s="572">
        <v>2656998.96430729</v>
      </c>
      <c r="M971" s="552">
        <f t="shared" si="90"/>
        <v>568128.28853892209</v>
      </c>
      <c r="N971" s="572">
        <v>2656998.96430729</v>
      </c>
      <c r="O971" s="552">
        <f t="shared" si="91"/>
        <v>568128.28853892209</v>
      </c>
      <c r="P971" s="552">
        <f t="shared" si="92"/>
        <v>0</v>
      </c>
    </row>
    <row r="972" spans="2:16">
      <c r="C972" s="548">
        <f>IF(D964="","-",+C971+1)</f>
        <v>2024</v>
      </c>
      <c r="D972" s="506">
        <f t="shared" si="93"/>
        <v>22875660.546828702</v>
      </c>
      <c r="E972" s="549">
        <f t="shared" ref="E972:E1029" si="94">IF(D972&gt;$J$967,$J$967,D972)</f>
        <v>664668.10305555549</v>
      </c>
      <c r="F972" s="549">
        <f t="shared" si="87"/>
        <v>22210992.443773147</v>
      </c>
      <c r="G972" s="506">
        <f t="shared" si="88"/>
        <v>22543326.495300926</v>
      </c>
      <c r="H972" s="554">
        <f>+J965*G972+E972</f>
        <v>3151796.6805371721</v>
      </c>
      <c r="I972" s="555">
        <f>+J966*G972+E972</f>
        <v>3151796.6805371721</v>
      </c>
      <c r="J972" s="552">
        <f t="shared" si="89"/>
        <v>0</v>
      </c>
      <c r="K972" s="552"/>
      <c r="L972" s="572">
        <v>3172730.5768298288</v>
      </c>
      <c r="M972" s="552">
        <f t="shared" si="90"/>
        <v>-20933.89629265666</v>
      </c>
      <c r="N972" s="572">
        <v>3172730.5768298288</v>
      </c>
      <c r="O972" s="552">
        <f t="shared" si="91"/>
        <v>-20933.89629265666</v>
      </c>
      <c r="P972" s="552">
        <f t="shared" si="92"/>
        <v>0</v>
      </c>
    </row>
    <row r="973" spans="2:16">
      <c r="C973" s="548">
        <f>IF(D964="","-",+C972+1)</f>
        <v>2025</v>
      </c>
      <c r="D973" s="506">
        <f t="shared" si="93"/>
        <v>22210992.443773147</v>
      </c>
      <c r="E973" s="549">
        <f t="shared" si="94"/>
        <v>664668.10305555549</v>
      </c>
      <c r="F973" s="549">
        <f t="shared" si="87"/>
        <v>21546324.340717591</v>
      </c>
      <c r="G973" s="506">
        <f t="shared" si="88"/>
        <v>21878658.392245367</v>
      </c>
      <c r="H973" s="554">
        <f>+J965*G973+E973</f>
        <v>3078466.1082281317</v>
      </c>
      <c r="I973" s="555">
        <f>+J966*G973+E973</f>
        <v>3078466.1082281317</v>
      </c>
      <c r="J973" s="552">
        <f t="shared" si="89"/>
        <v>0</v>
      </c>
      <c r="K973" s="552"/>
      <c r="L973" s="572">
        <v>3148735.8169052927</v>
      </c>
      <c r="M973" s="552">
        <f t="shared" si="90"/>
        <v>-70269.708677161019</v>
      </c>
      <c r="N973" s="572">
        <v>3148735.8169052927</v>
      </c>
      <c r="O973" s="552">
        <f t="shared" si="91"/>
        <v>-70269.708677161019</v>
      </c>
      <c r="P973" s="552">
        <f t="shared" si="92"/>
        <v>0</v>
      </c>
    </row>
    <row r="974" spans="2:16">
      <c r="C974" s="548">
        <f>IF(D964="","-",+C973+1)</f>
        <v>2026</v>
      </c>
      <c r="D974" s="506">
        <f t="shared" si="93"/>
        <v>21546324.340717591</v>
      </c>
      <c r="E974" s="549">
        <f t="shared" si="94"/>
        <v>664668.10305555549</v>
      </c>
      <c r="F974" s="549">
        <f t="shared" si="87"/>
        <v>20881656.237662036</v>
      </c>
      <c r="G974" s="506">
        <f t="shared" si="88"/>
        <v>21213990.289189816</v>
      </c>
      <c r="H974" s="554">
        <f>+J965*G974+E974</f>
        <v>3005135.5359190917</v>
      </c>
      <c r="I974" s="555">
        <f>+J966*G974+E974</f>
        <v>3005135.5359190917</v>
      </c>
      <c r="J974" s="552">
        <f t="shared" si="89"/>
        <v>0</v>
      </c>
      <c r="K974" s="552"/>
      <c r="L974" s="572"/>
      <c r="M974" s="552">
        <f t="shared" si="90"/>
        <v>0</v>
      </c>
      <c r="N974" s="572"/>
      <c r="O974" s="552">
        <f t="shared" si="91"/>
        <v>0</v>
      </c>
      <c r="P974" s="552">
        <f t="shared" si="92"/>
        <v>0</v>
      </c>
    </row>
    <row r="975" spans="2:16">
      <c r="C975" s="548">
        <f>IF(D964="","-",+C974+1)</f>
        <v>2027</v>
      </c>
      <c r="D975" s="506">
        <f t="shared" si="93"/>
        <v>20881656.237662036</v>
      </c>
      <c r="E975" s="549">
        <f t="shared" si="94"/>
        <v>664668.10305555549</v>
      </c>
      <c r="F975" s="549">
        <f t="shared" si="87"/>
        <v>20216988.134606481</v>
      </c>
      <c r="G975" s="506">
        <f t="shared" si="88"/>
        <v>20549322.186134256</v>
      </c>
      <c r="H975" s="554">
        <f>+J965*G975+E975</f>
        <v>2931804.9636100507</v>
      </c>
      <c r="I975" s="555">
        <f>+J966*G975+E975</f>
        <v>2931804.9636100507</v>
      </c>
      <c r="J975" s="552">
        <f t="shared" si="89"/>
        <v>0</v>
      </c>
      <c r="K975" s="552"/>
      <c r="L975" s="572"/>
      <c r="M975" s="552">
        <f t="shared" si="90"/>
        <v>0</v>
      </c>
      <c r="N975" s="572"/>
      <c r="O975" s="552">
        <f t="shared" si="91"/>
        <v>0</v>
      </c>
      <c r="P975" s="552">
        <f t="shared" si="92"/>
        <v>0</v>
      </c>
    </row>
    <row r="976" spans="2:16">
      <c r="C976" s="548">
        <f>IF(D964="","-",+C975+1)</f>
        <v>2028</v>
      </c>
      <c r="D976" s="506">
        <f t="shared" si="93"/>
        <v>20216988.134606481</v>
      </c>
      <c r="E976" s="549">
        <f t="shared" si="94"/>
        <v>664668.10305555549</v>
      </c>
      <c r="F976" s="549">
        <f t="shared" si="87"/>
        <v>19552320.031550925</v>
      </c>
      <c r="G976" s="506">
        <f t="shared" si="88"/>
        <v>19884654.083078705</v>
      </c>
      <c r="H976" s="554">
        <f>+J965*G976+E976</f>
        <v>2858474.3913010112</v>
      </c>
      <c r="I976" s="555">
        <f>+J966*G976+E976</f>
        <v>2858474.3913010112</v>
      </c>
      <c r="J976" s="552">
        <f t="shared" si="89"/>
        <v>0</v>
      </c>
      <c r="K976" s="552"/>
      <c r="L976" s="572"/>
      <c r="M976" s="552">
        <f t="shared" si="90"/>
        <v>0</v>
      </c>
      <c r="N976" s="572"/>
      <c r="O976" s="552">
        <f t="shared" si="91"/>
        <v>0</v>
      </c>
      <c r="P976" s="552">
        <f t="shared" si="92"/>
        <v>0</v>
      </c>
    </row>
    <row r="977" spans="3:16">
      <c r="C977" s="548">
        <f>IF(D964="","-",+C976+1)</f>
        <v>2029</v>
      </c>
      <c r="D977" s="506">
        <f t="shared" si="93"/>
        <v>19552320.031550925</v>
      </c>
      <c r="E977" s="549">
        <f t="shared" si="94"/>
        <v>664668.10305555549</v>
      </c>
      <c r="F977" s="549">
        <f t="shared" si="87"/>
        <v>18887651.92849537</v>
      </c>
      <c r="G977" s="506">
        <f t="shared" si="88"/>
        <v>19219985.980023146</v>
      </c>
      <c r="H977" s="554">
        <f>+J965*G977+E977</f>
        <v>2785143.8189919703</v>
      </c>
      <c r="I977" s="555">
        <f>+J966*G977+E977</f>
        <v>2785143.8189919703</v>
      </c>
      <c r="J977" s="552">
        <f t="shared" si="89"/>
        <v>0</v>
      </c>
      <c r="K977" s="552"/>
      <c r="L977" s="572"/>
      <c r="M977" s="552">
        <f t="shared" si="90"/>
        <v>0</v>
      </c>
      <c r="N977" s="572"/>
      <c r="O977" s="552">
        <f t="shared" si="91"/>
        <v>0</v>
      </c>
      <c r="P977" s="552">
        <f t="shared" si="92"/>
        <v>0</v>
      </c>
    </row>
    <row r="978" spans="3:16">
      <c r="C978" s="548">
        <f>IF(D964="","-",+C977+1)</f>
        <v>2030</v>
      </c>
      <c r="D978" s="506">
        <f t="shared" si="93"/>
        <v>18887651.92849537</v>
      </c>
      <c r="E978" s="549">
        <f t="shared" si="94"/>
        <v>664668.10305555549</v>
      </c>
      <c r="F978" s="549">
        <f t="shared" si="87"/>
        <v>18222983.825439814</v>
      </c>
      <c r="G978" s="506">
        <f t="shared" si="88"/>
        <v>18555317.876967594</v>
      </c>
      <c r="H978" s="554">
        <f>+J965*G978+E978</f>
        <v>2711813.2466829307</v>
      </c>
      <c r="I978" s="555">
        <f>+J966*G978+E978</f>
        <v>2711813.2466829307</v>
      </c>
      <c r="J978" s="552">
        <f t="shared" si="89"/>
        <v>0</v>
      </c>
      <c r="K978" s="552"/>
      <c r="L978" s="572"/>
      <c r="M978" s="552">
        <f t="shared" si="90"/>
        <v>0</v>
      </c>
      <c r="N978" s="572"/>
      <c r="O978" s="552">
        <f t="shared" si="91"/>
        <v>0</v>
      </c>
      <c r="P978" s="552">
        <f t="shared" si="92"/>
        <v>0</v>
      </c>
    </row>
    <row r="979" spans="3:16">
      <c r="C979" s="548">
        <f>IF(D964="","-",+C978+1)</f>
        <v>2031</v>
      </c>
      <c r="D979" s="506">
        <f t="shared" si="93"/>
        <v>18222983.825439814</v>
      </c>
      <c r="E979" s="549">
        <f t="shared" si="94"/>
        <v>664668.10305555549</v>
      </c>
      <c r="F979" s="549">
        <f t="shared" si="87"/>
        <v>17558315.722384259</v>
      </c>
      <c r="G979" s="506">
        <f t="shared" si="88"/>
        <v>17890649.773912035</v>
      </c>
      <c r="H979" s="554">
        <f>+J965*G979+E979</f>
        <v>2638482.6743738898</v>
      </c>
      <c r="I979" s="555">
        <f>+J966*G979+E979</f>
        <v>2638482.6743738898</v>
      </c>
      <c r="J979" s="552">
        <f t="shared" si="89"/>
        <v>0</v>
      </c>
      <c r="K979" s="552"/>
      <c r="L979" s="572"/>
      <c r="M979" s="552">
        <f t="shared" si="90"/>
        <v>0</v>
      </c>
      <c r="N979" s="572"/>
      <c r="O979" s="552">
        <f t="shared" si="91"/>
        <v>0</v>
      </c>
      <c r="P979" s="552">
        <f t="shared" si="92"/>
        <v>0</v>
      </c>
    </row>
    <row r="980" spans="3:16">
      <c r="C980" s="548">
        <f>IF(D964="","-",+C979+1)</f>
        <v>2032</v>
      </c>
      <c r="D980" s="506">
        <f t="shared" si="93"/>
        <v>17558315.722384259</v>
      </c>
      <c r="E980" s="549">
        <f t="shared" si="94"/>
        <v>664668.10305555549</v>
      </c>
      <c r="F980" s="549">
        <f t="shared" si="87"/>
        <v>16893647.619328704</v>
      </c>
      <c r="G980" s="506">
        <f t="shared" si="88"/>
        <v>17225981.670856483</v>
      </c>
      <c r="H980" s="554">
        <f>+J965*G980+E980</f>
        <v>2565152.1020648498</v>
      </c>
      <c r="I980" s="555">
        <f>+J966*G980+E980</f>
        <v>2565152.1020648498</v>
      </c>
      <c r="J980" s="552">
        <f t="shared" si="89"/>
        <v>0</v>
      </c>
      <c r="K980" s="552"/>
      <c r="L980" s="572"/>
      <c r="M980" s="552">
        <f t="shared" si="90"/>
        <v>0</v>
      </c>
      <c r="N980" s="572"/>
      <c r="O980" s="552">
        <f t="shared" si="91"/>
        <v>0</v>
      </c>
      <c r="P980" s="552">
        <f t="shared" si="92"/>
        <v>0</v>
      </c>
    </row>
    <row r="981" spans="3:16">
      <c r="C981" s="548">
        <f>IF(D964="","-",+C980+1)</f>
        <v>2033</v>
      </c>
      <c r="D981" s="506">
        <f t="shared" si="93"/>
        <v>16893647.619328704</v>
      </c>
      <c r="E981" s="549">
        <f t="shared" si="94"/>
        <v>664668.10305555549</v>
      </c>
      <c r="F981" s="549">
        <f t="shared" si="87"/>
        <v>16228979.516273148</v>
      </c>
      <c r="G981" s="506">
        <f t="shared" si="88"/>
        <v>16561313.567800926</v>
      </c>
      <c r="H981" s="554">
        <f>+J965*G981+E981</f>
        <v>2491821.5297558093</v>
      </c>
      <c r="I981" s="555">
        <f>+J966*G981+E981</f>
        <v>2491821.5297558093</v>
      </c>
      <c r="J981" s="552">
        <f t="shared" si="89"/>
        <v>0</v>
      </c>
      <c r="K981" s="552"/>
      <c r="L981" s="572"/>
      <c r="M981" s="552">
        <f t="shared" si="90"/>
        <v>0</v>
      </c>
      <c r="N981" s="572"/>
      <c r="O981" s="552">
        <f t="shared" si="91"/>
        <v>0</v>
      </c>
      <c r="P981" s="552">
        <f t="shared" si="92"/>
        <v>0</v>
      </c>
    </row>
    <row r="982" spans="3:16">
      <c r="C982" s="548">
        <f>IF(D964="","-",+C981+1)</f>
        <v>2034</v>
      </c>
      <c r="D982" s="506">
        <f t="shared" si="93"/>
        <v>16228979.516273148</v>
      </c>
      <c r="E982" s="549">
        <f t="shared" si="94"/>
        <v>664668.10305555549</v>
      </c>
      <c r="F982" s="549">
        <f t="shared" si="87"/>
        <v>15564311.413217593</v>
      </c>
      <c r="G982" s="506">
        <f t="shared" si="88"/>
        <v>15896645.464745371</v>
      </c>
      <c r="H982" s="554">
        <f>+J965*G982+E982</f>
        <v>2418490.9574467693</v>
      </c>
      <c r="I982" s="555">
        <f>+J966*G982+E982</f>
        <v>2418490.9574467693</v>
      </c>
      <c r="J982" s="552">
        <f t="shared" si="89"/>
        <v>0</v>
      </c>
      <c r="K982" s="552"/>
      <c r="L982" s="572"/>
      <c r="M982" s="552">
        <f t="shared" si="90"/>
        <v>0</v>
      </c>
      <c r="N982" s="572"/>
      <c r="O982" s="552">
        <f t="shared" si="91"/>
        <v>0</v>
      </c>
      <c r="P982" s="552">
        <f t="shared" si="92"/>
        <v>0</v>
      </c>
    </row>
    <row r="983" spans="3:16">
      <c r="C983" s="548">
        <f>IF(D964="","-",+C982+1)</f>
        <v>2035</v>
      </c>
      <c r="D983" s="506">
        <f t="shared" si="93"/>
        <v>15564311.413217593</v>
      </c>
      <c r="E983" s="549">
        <f t="shared" si="94"/>
        <v>664668.10305555549</v>
      </c>
      <c r="F983" s="549">
        <f t="shared" si="87"/>
        <v>14899643.310162038</v>
      </c>
      <c r="G983" s="506">
        <f t="shared" si="88"/>
        <v>15231977.361689815</v>
      </c>
      <c r="H983" s="554">
        <f>+J965*G983+E983</f>
        <v>2345160.3851377289</v>
      </c>
      <c r="I983" s="555">
        <f>+J966*G983+E983</f>
        <v>2345160.3851377289</v>
      </c>
      <c r="J983" s="552">
        <f t="shared" si="89"/>
        <v>0</v>
      </c>
      <c r="K983" s="552"/>
      <c r="L983" s="572"/>
      <c r="M983" s="552">
        <f t="shared" si="90"/>
        <v>0</v>
      </c>
      <c r="N983" s="572"/>
      <c r="O983" s="552">
        <f t="shared" si="91"/>
        <v>0</v>
      </c>
      <c r="P983" s="552">
        <f t="shared" si="92"/>
        <v>0</v>
      </c>
    </row>
    <row r="984" spans="3:16">
      <c r="C984" s="548">
        <f>IF(D964="","-",+C983+1)</f>
        <v>2036</v>
      </c>
      <c r="D984" s="506">
        <f t="shared" si="93"/>
        <v>14899643.310162038</v>
      </c>
      <c r="E984" s="549">
        <f t="shared" si="94"/>
        <v>664668.10305555549</v>
      </c>
      <c r="F984" s="549">
        <f t="shared" si="87"/>
        <v>14234975.207106482</v>
      </c>
      <c r="G984" s="506">
        <f t="shared" si="88"/>
        <v>14567309.25863426</v>
      </c>
      <c r="H984" s="554">
        <f>+J965*G984+E984</f>
        <v>2271829.8128286889</v>
      </c>
      <c r="I984" s="555">
        <f>+J966*G984+E984</f>
        <v>2271829.8128286889</v>
      </c>
      <c r="J984" s="552">
        <f t="shared" si="89"/>
        <v>0</v>
      </c>
      <c r="K984" s="552"/>
      <c r="L984" s="572"/>
      <c r="M984" s="552">
        <f t="shared" si="90"/>
        <v>0</v>
      </c>
      <c r="N984" s="572"/>
      <c r="O984" s="552">
        <f t="shared" si="91"/>
        <v>0</v>
      </c>
      <c r="P984" s="552">
        <f t="shared" si="92"/>
        <v>0</v>
      </c>
    </row>
    <row r="985" spans="3:16">
      <c r="C985" s="548">
        <f>IF(D964="","-",+C984+1)</f>
        <v>2037</v>
      </c>
      <c r="D985" s="506">
        <f t="shared" si="93"/>
        <v>14234975.207106482</v>
      </c>
      <c r="E985" s="549">
        <f t="shared" si="94"/>
        <v>664668.10305555549</v>
      </c>
      <c r="F985" s="549">
        <f t="shared" si="87"/>
        <v>13570307.104050927</v>
      </c>
      <c r="G985" s="506">
        <f t="shared" si="88"/>
        <v>13902641.155578705</v>
      </c>
      <c r="H985" s="554">
        <f>+J965*G985+E985</f>
        <v>2198499.2405196484</v>
      </c>
      <c r="I985" s="555">
        <f>+J966*G985+E985</f>
        <v>2198499.2405196484</v>
      </c>
      <c r="J985" s="552">
        <f t="shared" si="89"/>
        <v>0</v>
      </c>
      <c r="K985" s="552"/>
      <c r="L985" s="572"/>
      <c r="M985" s="552">
        <f t="shared" si="90"/>
        <v>0</v>
      </c>
      <c r="N985" s="572"/>
      <c r="O985" s="552">
        <f t="shared" si="91"/>
        <v>0</v>
      </c>
      <c r="P985" s="552">
        <f t="shared" si="92"/>
        <v>0</v>
      </c>
    </row>
    <row r="986" spans="3:16">
      <c r="C986" s="548">
        <f>IF(D964="","-",+C985+1)</f>
        <v>2038</v>
      </c>
      <c r="D986" s="506">
        <f t="shared" si="93"/>
        <v>13570307.104050927</v>
      </c>
      <c r="E986" s="549">
        <f t="shared" si="94"/>
        <v>664668.10305555549</v>
      </c>
      <c r="F986" s="549">
        <f t="shared" si="87"/>
        <v>12905639.000995371</v>
      </c>
      <c r="G986" s="506">
        <f t="shared" si="88"/>
        <v>13237973.052523149</v>
      </c>
      <c r="H986" s="554">
        <f>+J965*G986+E986</f>
        <v>2125168.668210608</v>
      </c>
      <c r="I986" s="555">
        <f>+J966*G986+E986</f>
        <v>2125168.668210608</v>
      </c>
      <c r="J986" s="552">
        <f t="shared" si="89"/>
        <v>0</v>
      </c>
      <c r="K986" s="552"/>
      <c r="L986" s="572"/>
      <c r="M986" s="552">
        <f t="shared" si="90"/>
        <v>0</v>
      </c>
      <c r="N986" s="572"/>
      <c r="O986" s="552">
        <f t="shared" si="91"/>
        <v>0</v>
      </c>
      <c r="P986" s="552">
        <f t="shared" si="92"/>
        <v>0</v>
      </c>
    </row>
    <row r="987" spans="3:16">
      <c r="C987" s="548">
        <f>IF(D964="","-",+C986+1)</f>
        <v>2039</v>
      </c>
      <c r="D987" s="506">
        <f t="shared" si="93"/>
        <v>12905639.000995371</v>
      </c>
      <c r="E987" s="549">
        <f t="shared" si="94"/>
        <v>664668.10305555549</v>
      </c>
      <c r="F987" s="549">
        <f t="shared" si="87"/>
        <v>12240970.897939816</v>
      </c>
      <c r="G987" s="506">
        <f t="shared" si="88"/>
        <v>12573304.949467594</v>
      </c>
      <c r="H987" s="554">
        <f>+J965*G987+E987</f>
        <v>2051838.095901568</v>
      </c>
      <c r="I987" s="555">
        <f>+J966*G987+E987</f>
        <v>2051838.095901568</v>
      </c>
      <c r="J987" s="552">
        <f t="shared" si="89"/>
        <v>0</v>
      </c>
      <c r="K987" s="552"/>
      <c r="L987" s="572"/>
      <c r="M987" s="552">
        <f t="shared" si="90"/>
        <v>0</v>
      </c>
      <c r="N987" s="572"/>
      <c r="O987" s="552">
        <f t="shared" si="91"/>
        <v>0</v>
      </c>
      <c r="P987" s="552">
        <f t="shared" si="92"/>
        <v>0</v>
      </c>
    </row>
    <row r="988" spans="3:16">
      <c r="C988" s="548">
        <f>IF(D964="","-",+C987+1)</f>
        <v>2040</v>
      </c>
      <c r="D988" s="506">
        <f t="shared" si="93"/>
        <v>12240970.897939816</v>
      </c>
      <c r="E988" s="549">
        <f t="shared" si="94"/>
        <v>664668.10305555549</v>
      </c>
      <c r="F988" s="549">
        <f t="shared" si="87"/>
        <v>11576302.794884261</v>
      </c>
      <c r="G988" s="506">
        <f t="shared" si="88"/>
        <v>11908636.846412038</v>
      </c>
      <c r="H988" s="554">
        <f>+J965*G988+E988</f>
        <v>1978507.5235925275</v>
      </c>
      <c r="I988" s="555">
        <f>+J966*G988+E988</f>
        <v>1978507.5235925275</v>
      </c>
      <c r="J988" s="552">
        <f t="shared" si="89"/>
        <v>0</v>
      </c>
      <c r="K988" s="552"/>
      <c r="L988" s="572"/>
      <c r="M988" s="552">
        <f t="shared" si="90"/>
        <v>0</v>
      </c>
      <c r="N988" s="572"/>
      <c r="O988" s="552">
        <f t="shared" si="91"/>
        <v>0</v>
      </c>
      <c r="P988" s="552">
        <f t="shared" si="92"/>
        <v>0</v>
      </c>
    </row>
    <row r="989" spans="3:16">
      <c r="C989" s="548">
        <f>IF(D964="","-",+C988+1)</f>
        <v>2041</v>
      </c>
      <c r="D989" s="506">
        <f t="shared" si="93"/>
        <v>11576302.794884261</v>
      </c>
      <c r="E989" s="549">
        <f t="shared" si="94"/>
        <v>664668.10305555549</v>
      </c>
      <c r="F989" s="549">
        <f t="shared" si="87"/>
        <v>10911634.691828705</v>
      </c>
      <c r="G989" s="506">
        <f t="shared" si="88"/>
        <v>11243968.743356483</v>
      </c>
      <c r="H989" s="554">
        <f>+J965*G989+E989</f>
        <v>1905176.9512834875</v>
      </c>
      <c r="I989" s="555">
        <f>+J966*G989+E989</f>
        <v>1905176.9512834875</v>
      </c>
      <c r="J989" s="552">
        <f t="shared" si="89"/>
        <v>0</v>
      </c>
      <c r="K989" s="552"/>
      <c r="L989" s="572"/>
      <c r="M989" s="552">
        <f t="shared" si="90"/>
        <v>0</v>
      </c>
      <c r="N989" s="572"/>
      <c r="O989" s="552">
        <f t="shared" si="91"/>
        <v>0</v>
      </c>
      <c r="P989" s="552">
        <f t="shared" si="92"/>
        <v>0</v>
      </c>
    </row>
    <row r="990" spans="3:16">
      <c r="C990" s="548">
        <f>IF(D964="","-",+C989+1)</f>
        <v>2042</v>
      </c>
      <c r="D990" s="506">
        <f t="shared" si="93"/>
        <v>10911634.691828705</v>
      </c>
      <c r="E990" s="549">
        <f t="shared" si="94"/>
        <v>664668.10305555549</v>
      </c>
      <c r="F990" s="549">
        <f t="shared" si="87"/>
        <v>10246966.58877315</v>
      </c>
      <c r="G990" s="506">
        <f t="shared" si="88"/>
        <v>10579300.640300928</v>
      </c>
      <c r="H990" s="554">
        <f>+J965*G990+E990</f>
        <v>1831846.378974447</v>
      </c>
      <c r="I990" s="555">
        <f>+J966*G990+E990</f>
        <v>1831846.378974447</v>
      </c>
      <c r="J990" s="552">
        <f t="shared" si="89"/>
        <v>0</v>
      </c>
      <c r="K990" s="552"/>
      <c r="L990" s="572"/>
      <c r="M990" s="552">
        <f t="shared" si="90"/>
        <v>0</v>
      </c>
      <c r="N990" s="572"/>
      <c r="O990" s="552">
        <f t="shared" si="91"/>
        <v>0</v>
      </c>
      <c r="P990" s="552">
        <f t="shared" si="92"/>
        <v>0</v>
      </c>
    </row>
    <row r="991" spans="3:16">
      <c r="C991" s="548">
        <f>IF(D964="","-",+C990+1)</f>
        <v>2043</v>
      </c>
      <c r="D991" s="506">
        <f t="shared" si="93"/>
        <v>10246966.58877315</v>
      </c>
      <c r="E991" s="549">
        <f t="shared" si="94"/>
        <v>664668.10305555549</v>
      </c>
      <c r="F991" s="549">
        <f t="shared" si="87"/>
        <v>9582298.4857175946</v>
      </c>
      <c r="G991" s="506">
        <f t="shared" si="88"/>
        <v>9914632.5372453723</v>
      </c>
      <c r="H991" s="554">
        <f>+J965*G991+E991</f>
        <v>1758515.8066654066</v>
      </c>
      <c r="I991" s="555">
        <f>+J966*G991+E991</f>
        <v>1758515.8066654066</v>
      </c>
      <c r="J991" s="552">
        <f t="shared" si="89"/>
        <v>0</v>
      </c>
      <c r="K991" s="552"/>
      <c r="L991" s="572"/>
      <c r="M991" s="552">
        <f t="shared" si="90"/>
        <v>0</v>
      </c>
      <c r="N991" s="572"/>
      <c r="O991" s="552">
        <f t="shared" si="91"/>
        <v>0</v>
      </c>
      <c r="P991" s="552">
        <f t="shared" si="92"/>
        <v>0</v>
      </c>
    </row>
    <row r="992" spans="3:16">
      <c r="C992" s="548">
        <f>IF(D964="","-",+C991+1)</f>
        <v>2044</v>
      </c>
      <c r="D992" s="506">
        <f t="shared" si="93"/>
        <v>9582298.4857175946</v>
      </c>
      <c r="E992" s="549">
        <f t="shared" si="94"/>
        <v>664668.10305555549</v>
      </c>
      <c r="F992" s="549">
        <f t="shared" si="87"/>
        <v>8917630.3826620393</v>
      </c>
      <c r="G992" s="506">
        <f t="shared" si="88"/>
        <v>9249964.4341898169</v>
      </c>
      <c r="H992" s="554">
        <f>+J965*G992+E992</f>
        <v>1685185.2343563666</v>
      </c>
      <c r="I992" s="555">
        <f>+J966*G992+E992</f>
        <v>1685185.2343563666</v>
      </c>
      <c r="J992" s="552">
        <f t="shared" si="89"/>
        <v>0</v>
      </c>
      <c r="K992" s="552"/>
      <c r="L992" s="572"/>
      <c r="M992" s="552">
        <f t="shared" si="90"/>
        <v>0</v>
      </c>
      <c r="N992" s="572"/>
      <c r="O992" s="552">
        <f t="shared" si="91"/>
        <v>0</v>
      </c>
      <c r="P992" s="552">
        <f t="shared" si="92"/>
        <v>0</v>
      </c>
    </row>
    <row r="993" spans="3:16">
      <c r="C993" s="548">
        <f>IF(D964="","-",+C992+1)</f>
        <v>2045</v>
      </c>
      <c r="D993" s="506">
        <f t="shared" si="93"/>
        <v>8917630.3826620393</v>
      </c>
      <c r="E993" s="549">
        <f t="shared" si="94"/>
        <v>664668.10305555549</v>
      </c>
      <c r="F993" s="549">
        <f t="shared" si="87"/>
        <v>8252962.2796064839</v>
      </c>
      <c r="G993" s="506">
        <f t="shared" si="88"/>
        <v>8585296.3311342616</v>
      </c>
      <c r="H993" s="554">
        <f>+J965*G993+E993</f>
        <v>1611854.6620473261</v>
      </c>
      <c r="I993" s="555">
        <f>+J966*G993+E993</f>
        <v>1611854.6620473261</v>
      </c>
      <c r="J993" s="552">
        <f t="shared" si="89"/>
        <v>0</v>
      </c>
      <c r="K993" s="552"/>
      <c r="L993" s="572"/>
      <c r="M993" s="552">
        <f t="shared" si="90"/>
        <v>0</v>
      </c>
      <c r="N993" s="572"/>
      <c r="O993" s="552">
        <f t="shared" si="91"/>
        <v>0</v>
      </c>
      <c r="P993" s="552">
        <f t="shared" si="92"/>
        <v>0</v>
      </c>
    </row>
    <row r="994" spans="3:16">
      <c r="C994" s="548">
        <f>IF(D964="","-",+C993+1)</f>
        <v>2046</v>
      </c>
      <c r="D994" s="506">
        <f t="shared" si="93"/>
        <v>8252962.2796064839</v>
      </c>
      <c r="E994" s="549">
        <f t="shared" si="94"/>
        <v>664668.10305555549</v>
      </c>
      <c r="F994" s="549">
        <f t="shared" si="87"/>
        <v>7588294.1765509285</v>
      </c>
      <c r="G994" s="506">
        <f t="shared" si="88"/>
        <v>7920628.2280787062</v>
      </c>
      <c r="H994" s="554">
        <f>+J965*G994+E994</f>
        <v>1538524.0897382861</v>
      </c>
      <c r="I994" s="555">
        <f>+J966*G994+E994</f>
        <v>1538524.0897382861</v>
      </c>
      <c r="J994" s="552">
        <f t="shared" si="89"/>
        <v>0</v>
      </c>
      <c r="K994" s="552"/>
      <c r="L994" s="572"/>
      <c r="M994" s="552">
        <f t="shared" si="90"/>
        <v>0</v>
      </c>
      <c r="N994" s="572"/>
      <c r="O994" s="552">
        <f t="shared" si="91"/>
        <v>0</v>
      </c>
      <c r="P994" s="552">
        <f t="shared" si="92"/>
        <v>0</v>
      </c>
    </row>
    <row r="995" spans="3:16">
      <c r="C995" s="548">
        <f>IF(D964="","-",+C994+1)</f>
        <v>2047</v>
      </c>
      <c r="D995" s="506">
        <f t="shared" si="93"/>
        <v>7588294.1765509285</v>
      </c>
      <c r="E995" s="549">
        <f t="shared" si="94"/>
        <v>664668.10305555549</v>
      </c>
      <c r="F995" s="549">
        <f t="shared" si="87"/>
        <v>6923626.0734953731</v>
      </c>
      <c r="G995" s="506">
        <f t="shared" si="88"/>
        <v>7255960.1250231508</v>
      </c>
      <c r="H995" s="554">
        <f>+J965*G995+E995</f>
        <v>1465193.5174292456</v>
      </c>
      <c r="I995" s="555">
        <f>+J966*G995+E995</f>
        <v>1465193.5174292456</v>
      </c>
      <c r="J995" s="552">
        <f t="shared" si="89"/>
        <v>0</v>
      </c>
      <c r="K995" s="552"/>
      <c r="L995" s="572"/>
      <c r="M995" s="552">
        <f t="shared" si="90"/>
        <v>0</v>
      </c>
      <c r="N995" s="572"/>
      <c r="O995" s="552">
        <f t="shared" si="91"/>
        <v>0</v>
      </c>
      <c r="P995" s="552">
        <f t="shared" si="92"/>
        <v>0</v>
      </c>
    </row>
    <row r="996" spans="3:16">
      <c r="C996" s="548">
        <f>IF(D964="","-",+C995+1)</f>
        <v>2048</v>
      </c>
      <c r="D996" s="506">
        <f t="shared" si="93"/>
        <v>6923626.0734953731</v>
      </c>
      <c r="E996" s="549">
        <f t="shared" si="94"/>
        <v>664668.10305555549</v>
      </c>
      <c r="F996" s="549">
        <f t="shared" si="87"/>
        <v>6258957.9704398178</v>
      </c>
      <c r="G996" s="506">
        <f t="shared" si="88"/>
        <v>6591292.0219675954</v>
      </c>
      <c r="H996" s="554">
        <f>+J965*G996+E996</f>
        <v>1391862.9451202054</v>
      </c>
      <c r="I996" s="555">
        <f>+J966*G996+E996</f>
        <v>1391862.9451202054</v>
      </c>
      <c r="J996" s="552">
        <f t="shared" si="89"/>
        <v>0</v>
      </c>
      <c r="K996" s="552"/>
      <c r="L996" s="572"/>
      <c r="M996" s="552">
        <f t="shared" si="90"/>
        <v>0</v>
      </c>
      <c r="N996" s="572"/>
      <c r="O996" s="552">
        <f t="shared" si="91"/>
        <v>0</v>
      </c>
      <c r="P996" s="552">
        <f t="shared" si="92"/>
        <v>0</v>
      </c>
    </row>
    <row r="997" spans="3:16">
      <c r="C997" s="548">
        <f>IF(D964="","-",+C996+1)</f>
        <v>2049</v>
      </c>
      <c r="D997" s="506">
        <f t="shared" si="93"/>
        <v>6258957.9704398178</v>
      </c>
      <c r="E997" s="549">
        <f t="shared" si="94"/>
        <v>664668.10305555549</v>
      </c>
      <c r="F997" s="549">
        <f t="shared" si="87"/>
        <v>5594289.8673842624</v>
      </c>
      <c r="G997" s="506">
        <f t="shared" si="88"/>
        <v>5926623.9189120401</v>
      </c>
      <c r="H997" s="554">
        <f>+J965*G997+E997</f>
        <v>1318532.3728111652</v>
      </c>
      <c r="I997" s="555">
        <f>+J966*G997+E997</f>
        <v>1318532.3728111652</v>
      </c>
      <c r="J997" s="552">
        <f t="shared" si="89"/>
        <v>0</v>
      </c>
      <c r="K997" s="552"/>
      <c r="L997" s="572"/>
      <c r="M997" s="552">
        <f t="shared" si="90"/>
        <v>0</v>
      </c>
      <c r="N997" s="572"/>
      <c r="O997" s="552">
        <f t="shared" si="91"/>
        <v>0</v>
      </c>
      <c r="P997" s="552">
        <f t="shared" si="92"/>
        <v>0</v>
      </c>
    </row>
    <row r="998" spans="3:16">
      <c r="C998" s="548">
        <f>IF(D964="","-",+C997+1)</f>
        <v>2050</v>
      </c>
      <c r="D998" s="506">
        <f t="shared" si="93"/>
        <v>5594289.8673842624</v>
      </c>
      <c r="E998" s="549">
        <f t="shared" si="94"/>
        <v>664668.10305555549</v>
      </c>
      <c r="F998" s="549">
        <f t="shared" si="87"/>
        <v>4929621.764328707</v>
      </c>
      <c r="G998" s="506">
        <f t="shared" si="88"/>
        <v>5261955.8158564847</v>
      </c>
      <c r="H998" s="554">
        <f>+J965*G998+E998</f>
        <v>1245201.8005021247</v>
      </c>
      <c r="I998" s="555">
        <f>+J966*G998+E998</f>
        <v>1245201.8005021247</v>
      </c>
      <c r="J998" s="552">
        <f t="shared" si="89"/>
        <v>0</v>
      </c>
      <c r="K998" s="552"/>
      <c r="L998" s="572"/>
      <c r="M998" s="552">
        <f t="shared" si="90"/>
        <v>0</v>
      </c>
      <c r="N998" s="572"/>
      <c r="O998" s="552">
        <f t="shared" si="91"/>
        <v>0</v>
      </c>
      <c r="P998" s="552">
        <f t="shared" si="92"/>
        <v>0</v>
      </c>
    </row>
    <row r="999" spans="3:16">
      <c r="C999" s="548">
        <f>IF(D964="","-",+C998+1)</f>
        <v>2051</v>
      </c>
      <c r="D999" s="506">
        <f t="shared" si="93"/>
        <v>4929621.764328707</v>
      </c>
      <c r="E999" s="549">
        <f t="shared" si="94"/>
        <v>664668.10305555549</v>
      </c>
      <c r="F999" s="549">
        <f t="shared" si="87"/>
        <v>4264953.6612731516</v>
      </c>
      <c r="G999" s="506">
        <f t="shared" si="88"/>
        <v>4597287.7128009293</v>
      </c>
      <c r="H999" s="554">
        <f>+J965*G999+E999</f>
        <v>1171871.2281930847</v>
      </c>
      <c r="I999" s="555">
        <f>+J966*G999+E999</f>
        <v>1171871.2281930847</v>
      </c>
      <c r="J999" s="552">
        <f t="shared" si="89"/>
        <v>0</v>
      </c>
      <c r="K999" s="552"/>
      <c r="L999" s="572"/>
      <c r="M999" s="552">
        <f t="shared" si="90"/>
        <v>0</v>
      </c>
      <c r="N999" s="572"/>
      <c r="O999" s="552">
        <f t="shared" si="91"/>
        <v>0</v>
      </c>
      <c r="P999" s="552">
        <f t="shared" si="92"/>
        <v>0</v>
      </c>
    </row>
    <row r="1000" spans="3:16">
      <c r="C1000" s="548">
        <f>IF(D964="","-",+C999+1)</f>
        <v>2052</v>
      </c>
      <c r="D1000" s="506">
        <f t="shared" si="93"/>
        <v>4264953.6612731516</v>
      </c>
      <c r="E1000" s="549">
        <f t="shared" si="94"/>
        <v>664668.10305555549</v>
      </c>
      <c r="F1000" s="549">
        <f t="shared" si="87"/>
        <v>3600285.5582175963</v>
      </c>
      <c r="G1000" s="506">
        <f t="shared" si="88"/>
        <v>3932619.6097453739</v>
      </c>
      <c r="H1000" s="554">
        <f>+J965*G1000+E1000</f>
        <v>1098540.6558840442</v>
      </c>
      <c r="I1000" s="555">
        <f>+J966*G1000+E1000</f>
        <v>1098540.6558840442</v>
      </c>
      <c r="J1000" s="552">
        <f t="shared" si="89"/>
        <v>0</v>
      </c>
      <c r="K1000" s="552"/>
      <c r="L1000" s="572"/>
      <c r="M1000" s="552">
        <f t="shared" si="90"/>
        <v>0</v>
      </c>
      <c r="N1000" s="572"/>
      <c r="O1000" s="552">
        <f t="shared" si="91"/>
        <v>0</v>
      </c>
      <c r="P1000" s="552">
        <f t="shared" si="92"/>
        <v>0</v>
      </c>
    </row>
    <row r="1001" spans="3:16">
      <c r="C1001" s="548">
        <f>IF(D964="","-",+C1000+1)</f>
        <v>2053</v>
      </c>
      <c r="D1001" s="506">
        <f t="shared" si="93"/>
        <v>3600285.5582175963</v>
      </c>
      <c r="E1001" s="549">
        <f t="shared" si="94"/>
        <v>664668.10305555549</v>
      </c>
      <c r="F1001" s="549">
        <f t="shared" si="87"/>
        <v>2935617.4551620409</v>
      </c>
      <c r="G1001" s="506">
        <f t="shared" si="88"/>
        <v>3267951.5066898186</v>
      </c>
      <c r="H1001" s="554">
        <f>+J965*G1001+E1001</f>
        <v>1025210.083575004</v>
      </c>
      <c r="I1001" s="555">
        <f>+J966*G1001+E1001</f>
        <v>1025210.083575004</v>
      </c>
      <c r="J1001" s="552">
        <f t="shared" si="89"/>
        <v>0</v>
      </c>
      <c r="K1001" s="552"/>
      <c r="L1001" s="572"/>
      <c r="M1001" s="552">
        <f t="shared" si="90"/>
        <v>0</v>
      </c>
      <c r="N1001" s="572"/>
      <c r="O1001" s="552">
        <f t="shared" si="91"/>
        <v>0</v>
      </c>
      <c r="P1001" s="552">
        <f t="shared" si="92"/>
        <v>0</v>
      </c>
    </row>
    <row r="1002" spans="3:16">
      <c r="C1002" s="548">
        <f>IF(D964="","-",+C1001+1)</f>
        <v>2054</v>
      </c>
      <c r="D1002" s="506">
        <f t="shared" si="93"/>
        <v>2935617.4551620409</v>
      </c>
      <c r="E1002" s="549">
        <f t="shared" si="94"/>
        <v>664668.10305555549</v>
      </c>
      <c r="F1002" s="549">
        <f t="shared" si="87"/>
        <v>2270949.3521064855</v>
      </c>
      <c r="G1002" s="506">
        <f t="shared" si="88"/>
        <v>2603283.4036342632</v>
      </c>
      <c r="H1002" s="554">
        <f>+J965*G1002+E1002</f>
        <v>951879.51126596378</v>
      </c>
      <c r="I1002" s="555">
        <f>+J966*G1002+E1002</f>
        <v>951879.51126596378</v>
      </c>
      <c r="J1002" s="552">
        <f t="shared" si="89"/>
        <v>0</v>
      </c>
      <c r="K1002" s="552"/>
      <c r="L1002" s="572"/>
      <c r="M1002" s="552">
        <f t="shared" si="90"/>
        <v>0</v>
      </c>
      <c r="N1002" s="572"/>
      <c r="O1002" s="552">
        <f t="shared" si="91"/>
        <v>0</v>
      </c>
      <c r="P1002" s="552">
        <f t="shared" si="92"/>
        <v>0</v>
      </c>
    </row>
    <row r="1003" spans="3:16">
      <c r="C1003" s="548">
        <f>IF(D964="","-",+C1002+1)</f>
        <v>2055</v>
      </c>
      <c r="D1003" s="506">
        <f t="shared" si="93"/>
        <v>2270949.3521064855</v>
      </c>
      <c r="E1003" s="549">
        <f t="shared" si="94"/>
        <v>664668.10305555549</v>
      </c>
      <c r="F1003" s="549">
        <f t="shared" si="87"/>
        <v>1606281.2490509301</v>
      </c>
      <c r="G1003" s="506">
        <f t="shared" si="88"/>
        <v>1938615.3005787078</v>
      </c>
      <c r="H1003" s="554">
        <f>+J965*G1003+E1003</f>
        <v>878548.93895692343</v>
      </c>
      <c r="I1003" s="555">
        <f>+J966*G1003+E1003</f>
        <v>878548.93895692343</v>
      </c>
      <c r="J1003" s="552">
        <f t="shared" si="89"/>
        <v>0</v>
      </c>
      <c r="K1003" s="552"/>
      <c r="L1003" s="572"/>
      <c r="M1003" s="552">
        <f t="shared" si="90"/>
        <v>0</v>
      </c>
      <c r="N1003" s="572"/>
      <c r="O1003" s="552">
        <f t="shared" si="91"/>
        <v>0</v>
      </c>
      <c r="P1003" s="552">
        <f t="shared" si="92"/>
        <v>0</v>
      </c>
    </row>
    <row r="1004" spans="3:16">
      <c r="C1004" s="548">
        <f>IF(D964="","-",+C1003+1)</f>
        <v>2056</v>
      </c>
      <c r="D1004" s="506">
        <f t="shared" si="93"/>
        <v>1606281.2490509301</v>
      </c>
      <c r="E1004" s="549">
        <f t="shared" si="94"/>
        <v>664668.10305555549</v>
      </c>
      <c r="F1004" s="549">
        <f t="shared" si="87"/>
        <v>941613.14599537465</v>
      </c>
      <c r="G1004" s="506">
        <f t="shared" si="88"/>
        <v>1273947.1975231525</v>
      </c>
      <c r="H1004" s="554">
        <f>+J965*G1004+E1004</f>
        <v>805218.3666478832</v>
      </c>
      <c r="I1004" s="555">
        <f>+J966*G1004+E1004</f>
        <v>805218.3666478832</v>
      </c>
      <c r="J1004" s="552">
        <f t="shared" si="89"/>
        <v>0</v>
      </c>
      <c r="K1004" s="552"/>
      <c r="L1004" s="572"/>
      <c r="M1004" s="552">
        <f t="shared" si="90"/>
        <v>0</v>
      </c>
      <c r="N1004" s="572"/>
      <c r="O1004" s="552">
        <f t="shared" si="91"/>
        <v>0</v>
      </c>
      <c r="P1004" s="552">
        <f t="shared" si="92"/>
        <v>0</v>
      </c>
    </row>
    <row r="1005" spans="3:16">
      <c r="C1005" s="548">
        <f>IF(D964="","-",+C1004+1)</f>
        <v>2057</v>
      </c>
      <c r="D1005" s="506">
        <f t="shared" si="93"/>
        <v>941613.14599537465</v>
      </c>
      <c r="E1005" s="549">
        <f t="shared" si="94"/>
        <v>664668.10305555549</v>
      </c>
      <c r="F1005" s="549">
        <f t="shared" si="87"/>
        <v>276945.04293981916</v>
      </c>
      <c r="G1005" s="506">
        <f t="shared" si="88"/>
        <v>609279.09446759685</v>
      </c>
      <c r="H1005" s="554">
        <f>+J965*G1005+E1005</f>
        <v>731887.79433884285</v>
      </c>
      <c r="I1005" s="555">
        <f>+J966*G1005+E1005</f>
        <v>731887.79433884285</v>
      </c>
      <c r="J1005" s="552">
        <f t="shared" si="89"/>
        <v>0</v>
      </c>
      <c r="K1005" s="552"/>
      <c r="L1005" s="572"/>
      <c r="M1005" s="552">
        <f t="shared" si="90"/>
        <v>0</v>
      </c>
      <c r="N1005" s="572"/>
      <c r="O1005" s="552">
        <f t="shared" si="91"/>
        <v>0</v>
      </c>
      <c r="P1005" s="552">
        <f t="shared" si="92"/>
        <v>0</v>
      </c>
    </row>
    <row r="1006" spans="3:16">
      <c r="C1006" s="548">
        <f>IF(D964="","-",+C1005+1)</f>
        <v>2058</v>
      </c>
      <c r="D1006" s="506">
        <f t="shared" si="93"/>
        <v>276945.04293981916</v>
      </c>
      <c r="E1006" s="549">
        <f t="shared" si="94"/>
        <v>276945.04293981916</v>
      </c>
      <c r="F1006" s="549">
        <f t="shared" si="87"/>
        <v>0</v>
      </c>
      <c r="G1006" s="506">
        <f t="shared" si="88"/>
        <v>138472.52146990958</v>
      </c>
      <c r="H1006" s="554">
        <f>+J965*G1006+E1006</f>
        <v>292222.24550420279</v>
      </c>
      <c r="I1006" s="555">
        <f>+J966*G1006+E1006</f>
        <v>292222.24550420279</v>
      </c>
      <c r="J1006" s="552">
        <f t="shared" si="89"/>
        <v>0</v>
      </c>
      <c r="K1006" s="552"/>
      <c r="L1006" s="572"/>
      <c r="M1006" s="552">
        <f t="shared" si="90"/>
        <v>0</v>
      </c>
      <c r="N1006" s="572"/>
      <c r="O1006" s="552">
        <f t="shared" si="91"/>
        <v>0</v>
      </c>
      <c r="P1006" s="552">
        <f t="shared" si="92"/>
        <v>0</v>
      </c>
    </row>
    <row r="1007" spans="3:16">
      <c r="C1007" s="548">
        <f>IF(D964="","-",+C1006+1)</f>
        <v>2059</v>
      </c>
      <c r="D1007" s="506">
        <f t="shared" si="93"/>
        <v>0</v>
      </c>
      <c r="E1007" s="549">
        <f t="shared" si="94"/>
        <v>0</v>
      </c>
      <c r="F1007" s="549">
        <f t="shared" si="87"/>
        <v>0</v>
      </c>
      <c r="G1007" s="506">
        <f t="shared" si="88"/>
        <v>0</v>
      </c>
      <c r="H1007" s="554">
        <f>+J965*G1007+E1007</f>
        <v>0</v>
      </c>
      <c r="I1007" s="555">
        <f>+J966*G1007+E1007</f>
        <v>0</v>
      </c>
      <c r="J1007" s="552">
        <f t="shared" si="89"/>
        <v>0</v>
      </c>
      <c r="K1007" s="552"/>
      <c r="L1007" s="572"/>
      <c r="M1007" s="552">
        <f t="shared" si="90"/>
        <v>0</v>
      </c>
      <c r="N1007" s="572"/>
      <c r="O1007" s="552">
        <f t="shared" si="91"/>
        <v>0</v>
      </c>
      <c r="P1007" s="552">
        <f t="shared" si="92"/>
        <v>0</v>
      </c>
    </row>
    <row r="1008" spans="3:16">
      <c r="C1008" s="548">
        <f>IF(D964="","-",+C1007+1)</f>
        <v>2060</v>
      </c>
      <c r="D1008" s="506">
        <f t="shared" si="93"/>
        <v>0</v>
      </c>
      <c r="E1008" s="549">
        <f t="shared" si="94"/>
        <v>0</v>
      </c>
      <c r="F1008" s="549">
        <f t="shared" si="87"/>
        <v>0</v>
      </c>
      <c r="G1008" s="506">
        <f t="shared" si="88"/>
        <v>0</v>
      </c>
      <c r="H1008" s="554">
        <f>+J965*G1008+E1008</f>
        <v>0</v>
      </c>
      <c r="I1008" s="555">
        <f>+J966*G1008+E1008</f>
        <v>0</v>
      </c>
      <c r="J1008" s="552">
        <f t="shared" si="89"/>
        <v>0</v>
      </c>
      <c r="K1008" s="552"/>
      <c r="L1008" s="572"/>
      <c r="M1008" s="552">
        <f t="shared" si="90"/>
        <v>0</v>
      </c>
      <c r="N1008" s="572"/>
      <c r="O1008" s="552">
        <f t="shared" si="91"/>
        <v>0</v>
      </c>
      <c r="P1008" s="552">
        <f t="shared" si="92"/>
        <v>0</v>
      </c>
    </row>
    <row r="1009" spans="3:16">
      <c r="C1009" s="548">
        <f>IF(D964="","-",+C1008+1)</f>
        <v>2061</v>
      </c>
      <c r="D1009" s="506">
        <f t="shared" si="93"/>
        <v>0</v>
      </c>
      <c r="E1009" s="549">
        <f t="shared" si="94"/>
        <v>0</v>
      </c>
      <c r="F1009" s="549">
        <f t="shared" si="87"/>
        <v>0</v>
      </c>
      <c r="G1009" s="506">
        <f t="shared" si="88"/>
        <v>0</v>
      </c>
      <c r="H1009" s="554">
        <f>+J965*G1009+E1009</f>
        <v>0</v>
      </c>
      <c r="I1009" s="555">
        <f>+J966*G1009+E1009</f>
        <v>0</v>
      </c>
      <c r="J1009" s="552">
        <f t="shared" si="89"/>
        <v>0</v>
      </c>
      <c r="K1009" s="552"/>
      <c r="L1009" s="572"/>
      <c r="M1009" s="552">
        <f t="shared" si="90"/>
        <v>0</v>
      </c>
      <c r="N1009" s="572"/>
      <c r="O1009" s="552">
        <f t="shared" si="91"/>
        <v>0</v>
      </c>
      <c r="P1009" s="552">
        <f t="shared" si="92"/>
        <v>0</v>
      </c>
    </row>
    <row r="1010" spans="3:16">
      <c r="C1010" s="548">
        <f>IF(D964="","-",+C1009+1)</f>
        <v>2062</v>
      </c>
      <c r="D1010" s="506">
        <f t="shared" si="93"/>
        <v>0</v>
      </c>
      <c r="E1010" s="549">
        <f t="shared" si="94"/>
        <v>0</v>
      </c>
      <c r="F1010" s="549">
        <f t="shared" si="87"/>
        <v>0</v>
      </c>
      <c r="G1010" s="506">
        <f t="shared" si="88"/>
        <v>0</v>
      </c>
      <c r="H1010" s="554">
        <f>+J965*G1010+E1010</f>
        <v>0</v>
      </c>
      <c r="I1010" s="555">
        <f>+J966*G1010+E1010</f>
        <v>0</v>
      </c>
      <c r="J1010" s="552">
        <f t="shared" si="89"/>
        <v>0</v>
      </c>
      <c r="K1010" s="552"/>
      <c r="L1010" s="572"/>
      <c r="M1010" s="552">
        <f t="shared" si="90"/>
        <v>0</v>
      </c>
      <c r="N1010" s="572"/>
      <c r="O1010" s="552">
        <f t="shared" si="91"/>
        <v>0</v>
      </c>
      <c r="P1010" s="552">
        <f t="shared" si="92"/>
        <v>0</v>
      </c>
    </row>
    <row r="1011" spans="3:16">
      <c r="C1011" s="548">
        <f>IF(D964="","-",+C1010+1)</f>
        <v>2063</v>
      </c>
      <c r="D1011" s="506">
        <f t="shared" si="93"/>
        <v>0</v>
      </c>
      <c r="E1011" s="549">
        <f t="shared" si="94"/>
        <v>0</v>
      </c>
      <c r="F1011" s="549">
        <f t="shared" si="87"/>
        <v>0</v>
      </c>
      <c r="G1011" s="506">
        <f t="shared" si="88"/>
        <v>0</v>
      </c>
      <c r="H1011" s="554">
        <f>+J965*G1011+E1011</f>
        <v>0</v>
      </c>
      <c r="I1011" s="555">
        <f>+J966*G1011+E1011</f>
        <v>0</v>
      </c>
      <c r="J1011" s="552">
        <f t="shared" si="89"/>
        <v>0</v>
      </c>
      <c r="K1011" s="552"/>
      <c r="L1011" s="572"/>
      <c r="M1011" s="552">
        <f t="shared" si="90"/>
        <v>0</v>
      </c>
      <c r="N1011" s="572"/>
      <c r="O1011" s="552">
        <f t="shared" si="91"/>
        <v>0</v>
      </c>
      <c r="P1011" s="552">
        <f t="shared" si="92"/>
        <v>0</v>
      </c>
    </row>
    <row r="1012" spans="3:16">
      <c r="C1012" s="548">
        <f>IF(D964="","-",+C1011+1)</f>
        <v>2064</v>
      </c>
      <c r="D1012" s="506">
        <f t="shared" si="93"/>
        <v>0</v>
      </c>
      <c r="E1012" s="549">
        <f t="shared" si="94"/>
        <v>0</v>
      </c>
      <c r="F1012" s="549">
        <f t="shared" si="87"/>
        <v>0</v>
      </c>
      <c r="G1012" s="506">
        <f t="shared" si="88"/>
        <v>0</v>
      </c>
      <c r="H1012" s="554">
        <f>+J965*G1012+E1012</f>
        <v>0</v>
      </c>
      <c r="I1012" s="555">
        <f>+J966*G1012+E1012</f>
        <v>0</v>
      </c>
      <c r="J1012" s="552">
        <f t="shared" si="89"/>
        <v>0</v>
      </c>
      <c r="K1012" s="552"/>
      <c r="L1012" s="572"/>
      <c r="M1012" s="552">
        <f t="shared" si="90"/>
        <v>0</v>
      </c>
      <c r="N1012" s="572"/>
      <c r="O1012" s="552">
        <f t="shared" si="91"/>
        <v>0</v>
      </c>
      <c r="P1012" s="552">
        <f t="shared" si="92"/>
        <v>0</v>
      </c>
    </row>
    <row r="1013" spans="3:16">
      <c r="C1013" s="548">
        <f>IF(D964="","-",+C1012+1)</f>
        <v>2065</v>
      </c>
      <c r="D1013" s="506">
        <f t="shared" si="93"/>
        <v>0</v>
      </c>
      <c r="E1013" s="549">
        <f t="shared" si="94"/>
        <v>0</v>
      </c>
      <c r="F1013" s="549">
        <f t="shared" si="87"/>
        <v>0</v>
      </c>
      <c r="G1013" s="506">
        <f t="shared" si="88"/>
        <v>0</v>
      </c>
      <c r="H1013" s="554">
        <f>+J965*G1013+E1013</f>
        <v>0</v>
      </c>
      <c r="I1013" s="555">
        <f>+J966*G1013+E1013</f>
        <v>0</v>
      </c>
      <c r="J1013" s="552">
        <f t="shared" si="89"/>
        <v>0</v>
      </c>
      <c r="K1013" s="552"/>
      <c r="L1013" s="572"/>
      <c r="M1013" s="552">
        <f t="shared" si="90"/>
        <v>0</v>
      </c>
      <c r="N1013" s="572"/>
      <c r="O1013" s="552">
        <f t="shared" si="91"/>
        <v>0</v>
      </c>
      <c r="P1013" s="552">
        <f t="shared" si="92"/>
        <v>0</v>
      </c>
    </row>
    <row r="1014" spans="3:16">
      <c r="C1014" s="548">
        <f>IF(D964="","-",+C1013+1)</f>
        <v>2066</v>
      </c>
      <c r="D1014" s="506">
        <f t="shared" si="93"/>
        <v>0</v>
      </c>
      <c r="E1014" s="549">
        <f t="shared" si="94"/>
        <v>0</v>
      </c>
      <c r="F1014" s="549">
        <f t="shared" si="87"/>
        <v>0</v>
      </c>
      <c r="G1014" s="506">
        <f t="shared" si="88"/>
        <v>0</v>
      </c>
      <c r="H1014" s="554">
        <f>+J965*G1014+E1014</f>
        <v>0</v>
      </c>
      <c r="I1014" s="555">
        <f>+J966*G1014+E1014</f>
        <v>0</v>
      </c>
      <c r="J1014" s="552">
        <f t="shared" si="89"/>
        <v>0</v>
      </c>
      <c r="K1014" s="552"/>
      <c r="L1014" s="572"/>
      <c r="M1014" s="552">
        <f t="shared" si="90"/>
        <v>0</v>
      </c>
      <c r="N1014" s="572"/>
      <c r="O1014" s="552">
        <f t="shared" si="91"/>
        <v>0</v>
      </c>
      <c r="P1014" s="552">
        <f t="shared" si="92"/>
        <v>0</v>
      </c>
    </row>
    <row r="1015" spans="3:16">
      <c r="C1015" s="548">
        <f>IF(D964="","-",+C1014+1)</f>
        <v>2067</v>
      </c>
      <c r="D1015" s="506">
        <f t="shared" si="93"/>
        <v>0</v>
      </c>
      <c r="E1015" s="549">
        <f t="shared" si="94"/>
        <v>0</v>
      </c>
      <c r="F1015" s="549">
        <f t="shared" si="87"/>
        <v>0</v>
      </c>
      <c r="G1015" s="506">
        <f t="shared" si="88"/>
        <v>0</v>
      </c>
      <c r="H1015" s="554">
        <f>+J965*G1015+E1015</f>
        <v>0</v>
      </c>
      <c r="I1015" s="555">
        <f>+J966*G1015+E1015</f>
        <v>0</v>
      </c>
      <c r="J1015" s="552">
        <f t="shared" si="89"/>
        <v>0</v>
      </c>
      <c r="K1015" s="552"/>
      <c r="L1015" s="572"/>
      <c r="M1015" s="552">
        <f t="shared" si="90"/>
        <v>0</v>
      </c>
      <c r="N1015" s="572"/>
      <c r="O1015" s="552">
        <f t="shared" si="91"/>
        <v>0</v>
      </c>
      <c r="P1015" s="552">
        <f t="shared" si="92"/>
        <v>0</v>
      </c>
    </row>
    <row r="1016" spans="3:16">
      <c r="C1016" s="548">
        <f>IF(D964="","-",+C1015+1)</f>
        <v>2068</v>
      </c>
      <c r="D1016" s="506">
        <f t="shared" si="93"/>
        <v>0</v>
      </c>
      <c r="E1016" s="549">
        <f t="shared" si="94"/>
        <v>0</v>
      </c>
      <c r="F1016" s="549">
        <f t="shared" si="87"/>
        <v>0</v>
      </c>
      <c r="G1016" s="506">
        <f t="shared" si="88"/>
        <v>0</v>
      </c>
      <c r="H1016" s="554">
        <f>+J965*G1016+E1016</f>
        <v>0</v>
      </c>
      <c r="I1016" s="555">
        <f>+J966*G1016+E1016</f>
        <v>0</v>
      </c>
      <c r="J1016" s="552">
        <f t="shared" si="89"/>
        <v>0</v>
      </c>
      <c r="K1016" s="552"/>
      <c r="L1016" s="572"/>
      <c r="M1016" s="552">
        <f t="shared" si="90"/>
        <v>0</v>
      </c>
      <c r="N1016" s="572"/>
      <c r="O1016" s="552">
        <f t="shared" si="91"/>
        <v>0</v>
      </c>
      <c r="P1016" s="552">
        <f t="shared" si="92"/>
        <v>0</v>
      </c>
    </row>
    <row r="1017" spans="3:16">
      <c r="C1017" s="548">
        <f>IF(D964="","-",+C1016+1)</f>
        <v>2069</v>
      </c>
      <c r="D1017" s="506">
        <f t="shared" si="93"/>
        <v>0</v>
      </c>
      <c r="E1017" s="549">
        <f t="shared" si="94"/>
        <v>0</v>
      </c>
      <c r="F1017" s="549">
        <f t="shared" si="87"/>
        <v>0</v>
      </c>
      <c r="G1017" s="506">
        <f t="shared" si="88"/>
        <v>0</v>
      </c>
      <c r="H1017" s="554">
        <f>+J965*G1017+E1017</f>
        <v>0</v>
      </c>
      <c r="I1017" s="555">
        <f>+J966*G1017+E1017</f>
        <v>0</v>
      </c>
      <c r="J1017" s="552">
        <f t="shared" si="89"/>
        <v>0</v>
      </c>
      <c r="K1017" s="552"/>
      <c r="L1017" s="572"/>
      <c r="M1017" s="552">
        <f t="shared" si="90"/>
        <v>0</v>
      </c>
      <c r="N1017" s="572"/>
      <c r="O1017" s="552">
        <f t="shared" si="91"/>
        <v>0</v>
      </c>
      <c r="P1017" s="552">
        <f t="shared" si="92"/>
        <v>0</v>
      </c>
    </row>
    <row r="1018" spans="3:16">
      <c r="C1018" s="548">
        <f>IF(D964="","-",+C1017+1)</f>
        <v>2070</v>
      </c>
      <c r="D1018" s="506">
        <f t="shared" si="93"/>
        <v>0</v>
      </c>
      <c r="E1018" s="549">
        <f t="shared" si="94"/>
        <v>0</v>
      </c>
      <c r="F1018" s="549">
        <f t="shared" si="87"/>
        <v>0</v>
      </c>
      <c r="G1018" s="506">
        <f t="shared" si="88"/>
        <v>0</v>
      </c>
      <c r="H1018" s="554">
        <f>+J965*G1018+E1018</f>
        <v>0</v>
      </c>
      <c r="I1018" s="555">
        <f>+J966*G1018+E1018</f>
        <v>0</v>
      </c>
      <c r="J1018" s="552">
        <f t="shared" si="89"/>
        <v>0</v>
      </c>
      <c r="K1018" s="552"/>
      <c r="L1018" s="572"/>
      <c r="M1018" s="552">
        <f t="shared" si="90"/>
        <v>0</v>
      </c>
      <c r="N1018" s="572"/>
      <c r="O1018" s="552">
        <f t="shared" si="91"/>
        <v>0</v>
      </c>
      <c r="P1018" s="552">
        <f t="shared" si="92"/>
        <v>0</v>
      </c>
    </row>
    <row r="1019" spans="3:16">
      <c r="C1019" s="548">
        <f>IF(D964="","-",+C1018+1)</f>
        <v>2071</v>
      </c>
      <c r="D1019" s="506">
        <f t="shared" si="93"/>
        <v>0</v>
      </c>
      <c r="E1019" s="549">
        <f t="shared" si="94"/>
        <v>0</v>
      </c>
      <c r="F1019" s="549">
        <f t="shared" si="87"/>
        <v>0</v>
      </c>
      <c r="G1019" s="506">
        <f t="shared" si="88"/>
        <v>0</v>
      </c>
      <c r="H1019" s="554">
        <f>+J965*G1019+E1019</f>
        <v>0</v>
      </c>
      <c r="I1019" s="555">
        <f>+J966*G1019+E1019</f>
        <v>0</v>
      </c>
      <c r="J1019" s="552">
        <f t="shared" si="89"/>
        <v>0</v>
      </c>
      <c r="K1019" s="552"/>
      <c r="L1019" s="572"/>
      <c r="M1019" s="552">
        <f t="shared" si="90"/>
        <v>0</v>
      </c>
      <c r="N1019" s="572"/>
      <c r="O1019" s="552">
        <f t="shared" si="91"/>
        <v>0</v>
      </c>
      <c r="P1019" s="552">
        <f t="shared" si="92"/>
        <v>0</v>
      </c>
    </row>
    <row r="1020" spans="3:16">
      <c r="C1020" s="548">
        <f>IF(D964="","-",+C1019+1)</f>
        <v>2072</v>
      </c>
      <c r="D1020" s="506">
        <f t="shared" si="93"/>
        <v>0</v>
      </c>
      <c r="E1020" s="549">
        <f t="shared" si="94"/>
        <v>0</v>
      </c>
      <c r="F1020" s="549">
        <f t="shared" si="87"/>
        <v>0</v>
      </c>
      <c r="G1020" s="506">
        <f t="shared" si="88"/>
        <v>0</v>
      </c>
      <c r="H1020" s="554">
        <f>+J965*G1020+E1020</f>
        <v>0</v>
      </c>
      <c r="I1020" s="555">
        <f>+J966*G1020+E1020</f>
        <v>0</v>
      </c>
      <c r="J1020" s="552">
        <f t="shared" si="89"/>
        <v>0</v>
      </c>
      <c r="K1020" s="552"/>
      <c r="L1020" s="572"/>
      <c r="M1020" s="552">
        <f t="shared" si="90"/>
        <v>0</v>
      </c>
      <c r="N1020" s="572"/>
      <c r="O1020" s="552">
        <f t="shared" si="91"/>
        <v>0</v>
      </c>
      <c r="P1020" s="552">
        <f t="shared" si="92"/>
        <v>0</v>
      </c>
    </row>
    <row r="1021" spans="3:16">
      <c r="C1021" s="548">
        <f>IF(D964="","-",+C1020+1)</f>
        <v>2073</v>
      </c>
      <c r="D1021" s="506">
        <f t="shared" si="93"/>
        <v>0</v>
      </c>
      <c r="E1021" s="549">
        <f t="shared" si="94"/>
        <v>0</v>
      </c>
      <c r="F1021" s="549">
        <f t="shared" si="87"/>
        <v>0</v>
      </c>
      <c r="G1021" s="506">
        <f t="shared" si="88"/>
        <v>0</v>
      </c>
      <c r="H1021" s="554">
        <f>+J965*G1021+E1021</f>
        <v>0</v>
      </c>
      <c r="I1021" s="555">
        <f>+J966*G1021+E1021</f>
        <v>0</v>
      </c>
      <c r="J1021" s="552">
        <f t="shared" si="89"/>
        <v>0</v>
      </c>
      <c r="K1021" s="552"/>
      <c r="L1021" s="572"/>
      <c r="M1021" s="552">
        <f t="shared" si="90"/>
        <v>0</v>
      </c>
      <c r="N1021" s="572"/>
      <c r="O1021" s="552">
        <f t="shared" si="91"/>
        <v>0</v>
      </c>
      <c r="P1021" s="552">
        <f t="shared" si="92"/>
        <v>0</v>
      </c>
    </row>
    <row r="1022" spans="3:16">
      <c r="C1022" s="548">
        <f>IF(D964="","-",+C1021+1)</f>
        <v>2074</v>
      </c>
      <c r="D1022" s="506">
        <f t="shared" si="93"/>
        <v>0</v>
      </c>
      <c r="E1022" s="549">
        <f t="shared" si="94"/>
        <v>0</v>
      </c>
      <c r="F1022" s="549">
        <f t="shared" si="87"/>
        <v>0</v>
      </c>
      <c r="G1022" s="506">
        <f t="shared" si="88"/>
        <v>0</v>
      </c>
      <c r="H1022" s="554">
        <f>+J965*G1022+E1022</f>
        <v>0</v>
      </c>
      <c r="I1022" s="555">
        <f>+J966*G1022+E1022</f>
        <v>0</v>
      </c>
      <c r="J1022" s="552">
        <f t="shared" si="89"/>
        <v>0</v>
      </c>
      <c r="K1022" s="552"/>
      <c r="L1022" s="572"/>
      <c r="M1022" s="552">
        <f t="shared" si="90"/>
        <v>0</v>
      </c>
      <c r="N1022" s="572"/>
      <c r="O1022" s="552">
        <f t="shared" si="91"/>
        <v>0</v>
      </c>
      <c r="P1022" s="552">
        <f t="shared" si="92"/>
        <v>0</v>
      </c>
    </row>
    <row r="1023" spans="3:16">
      <c r="C1023" s="548">
        <f>IF(D964="","-",+C1022+1)</f>
        <v>2075</v>
      </c>
      <c r="D1023" s="506">
        <f t="shared" si="93"/>
        <v>0</v>
      </c>
      <c r="E1023" s="549">
        <f t="shared" si="94"/>
        <v>0</v>
      </c>
      <c r="F1023" s="549">
        <f t="shared" si="87"/>
        <v>0</v>
      </c>
      <c r="G1023" s="506">
        <f t="shared" si="88"/>
        <v>0</v>
      </c>
      <c r="H1023" s="554">
        <f>+J965*G1023+E1023</f>
        <v>0</v>
      </c>
      <c r="I1023" s="555">
        <f>+J966*G1023+E1023</f>
        <v>0</v>
      </c>
      <c r="J1023" s="552">
        <f t="shared" si="89"/>
        <v>0</v>
      </c>
      <c r="K1023" s="552"/>
      <c r="L1023" s="572"/>
      <c r="M1023" s="552">
        <f t="shared" si="90"/>
        <v>0</v>
      </c>
      <c r="N1023" s="572"/>
      <c r="O1023" s="552">
        <f t="shared" si="91"/>
        <v>0</v>
      </c>
      <c r="P1023" s="552">
        <f t="shared" si="92"/>
        <v>0</v>
      </c>
    </row>
    <row r="1024" spans="3:16">
      <c r="C1024" s="548">
        <f>IF(D964="","-",+C1023+1)</f>
        <v>2076</v>
      </c>
      <c r="D1024" s="506">
        <f t="shared" si="93"/>
        <v>0</v>
      </c>
      <c r="E1024" s="549">
        <f t="shared" si="94"/>
        <v>0</v>
      </c>
      <c r="F1024" s="549">
        <f t="shared" si="87"/>
        <v>0</v>
      </c>
      <c r="G1024" s="506">
        <f t="shared" si="88"/>
        <v>0</v>
      </c>
      <c r="H1024" s="554">
        <f>+J965*G1024+E1024</f>
        <v>0</v>
      </c>
      <c r="I1024" s="555">
        <f>+J966*G1024+E1024</f>
        <v>0</v>
      </c>
      <c r="J1024" s="552">
        <f t="shared" si="89"/>
        <v>0</v>
      </c>
      <c r="K1024" s="552"/>
      <c r="L1024" s="572"/>
      <c r="M1024" s="552">
        <f t="shared" si="90"/>
        <v>0</v>
      </c>
      <c r="N1024" s="572"/>
      <c r="O1024" s="552">
        <f t="shared" si="91"/>
        <v>0</v>
      </c>
      <c r="P1024" s="552">
        <f t="shared" si="92"/>
        <v>0</v>
      </c>
    </row>
    <row r="1025" spans="2:16">
      <c r="C1025" s="548">
        <f>IF(D964="","-",+C1024+1)</f>
        <v>2077</v>
      </c>
      <c r="D1025" s="506">
        <f t="shared" si="93"/>
        <v>0</v>
      </c>
      <c r="E1025" s="549">
        <f t="shared" si="94"/>
        <v>0</v>
      </c>
      <c r="F1025" s="549">
        <f t="shared" si="87"/>
        <v>0</v>
      </c>
      <c r="G1025" s="506">
        <f t="shared" si="88"/>
        <v>0</v>
      </c>
      <c r="H1025" s="554">
        <f>+J965*G1025+E1025</f>
        <v>0</v>
      </c>
      <c r="I1025" s="555">
        <f>+J966*G1025+E1025</f>
        <v>0</v>
      </c>
      <c r="J1025" s="552">
        <f t="shared" si="89"/>
        <v>0</v>
      </c>
      <c r="K1025" s="552"/>
      <c r="L1025" s="572"/>
      <c r="M1025" s="552">
        <f t="shared" si="90"/>
        <v>0</v>
      </c>
      <c r="N1025" s="572"/>
      <c r="O1025" s="552">
        <f t="shared" si="91"/>
        <v>0</v>
      </c>
      <c r="P1025" s="552">
        <f t="shared" si="92"/>
        <v>0</v>
      </c>
    </row>
    <row r="1026" spans="2:16">
      <c r="C1026" s="548">
        <f>IF(D964="","-",+C1025+1)</f>
        <v>2078</v>
      </c>
      <c r="D1026" s="506">
        <f t="shared" si="93"/>
        <v>0</v>
      </c>
      <c r="E1026" s="549">
        <f t="shared" si="94"/>
        <v>0</v>
      </c>
      <c r="F1026" s="549">
        <f t="shared" si="87"/>
        <v>0</v>
      </c>
      <c r="G1026" s="506">
        <f t="shared" si="88"/>
        <v>0</v>
      </c>
      <c r="H1026" s="554">
        <f>+J965*G1026+E1026</f>
        <v>0</v>
      </c>
      <c r="I1026" s="555">
        <f>+J966*G1026+E1026</f>
        <v>0</v>
      </c>
      <c r="J1026" s="552">
        <f t="shared" si="89"/>
        <v>0</v>
      </c>
      <c r="K1026" s="552"/>
      <c r="L1026" s="572"/>
      <c r="M1026" s="552">
        <f t="shared" si="90"/>
        <v>0</v>
      </c>
      <c r="N1026" s="572"/>
      <c r="O1026" s="552">
        <f t="shared" si="91"/>
        <v>0</v>
      </c>
      <c r="P1026" s="552">
        <f t="shared" si="92"/>
        <v>0</v>
      </c>
    </row>
    <row r="1027" spans="2:16">
      <c r="C1027" s="548">
        <f>IF(D964="","-",+C1026+1)</f>
        <v>2079</v>
      </c>
      <c r="D1027" s="506">
        <f t="shared" si="93"/>
        <v>0</v>
      </c>
      <c r="E1027" s="549">
        <f t="shared" si="94"/>
        <v>0</v>
      </c>
      <c r="F1027" s="549">
        <f t="shared" si="87"/>
        <v>0</v>
      </c>
      <c r="G1027" s="506">
        <f t="shared" si="88"/>
        <v>0</v>
      </c>
      <c r="H1027" s="554">
        <f>+J965*G1027+E1027</f>
        <v>0</v>
      </c>
      <c r="I1027" s="555">
        <f>+J966*G1027+E1027</f>
        <v>0</v>
      </c>
      <c r="J1027" s="552">
        <f t="shared" si="89"/>
        <v>0</v>
      </c>
      <c r="K1027" s="552"/>
      <c r="L1027" s="572"/>
      <c r="M1027" s="552">
        <f t="shared" si="90"/>
        <v>0</v>
      </c>
      <c r="N1027" s="572"/>
      <c r="O1027" s="552">
        <f t="shared" si="91"/>
        <v>0</v>
      </c>
      <c r="P1027" s="552">
        <f t="shared" si="92"/>
        <v>0</v>
      </c>
    </row>
    <row r="1028" spans="2:16">
      <c r="C1028" s="548">
        <f>IF(D964="","-",+C1027+1)</f>
        <v>2080</v>
      </c>
      <c r="D1028" s="506">
        <f t="shared" si="93"/>
        <v>0</v>
      </c>
      <c r="E1028" s="549">
        <f t="shared" si="94"/>
        <v>0</v>
      </c>
      <c r="F1028" s="549">
        <f t="shared" si="87"/>
        <v>0</v>
      </c>
      <c r="G1028" s="506">
        <f t="shared" si="88"/>
        <v>0</v>
      </c>
      <c r="H1028" s="554">
        <f>+J965*G1028+E1028</f>
        <v>0</v>
      </c>
      <c r="I1028" s="555">
        <f>+J966*G1028+E1028</f>
        <v>0</v>
      </c>
      <c r="J1028" s="552">
        <f t="shared" si="89"/>
        <v>0</v>
      </c>
      <c r="K1028" s="552"/>
      <c r="L1028" s="572"/>
      <c r="M1028" s="552">
        <f t="shared" si="90"/>
        <v>0</v>
      </c>
      <c r="N1028" s="572"/>
      <c r="O1028" s="552">
        <f t="shared" si="91"/>
        <v>0</v>
      </c>
      <c r="P1028" s="552">
        <f t="shared" si="92"/>
        <v>0</v>
      </c>
    </row>
    <row r="1029" spans="2:16" ht="13.5" thickBot="1">
      <c r="C1029" s="558">
        <f>IF(D964="","-",+C1028+1)</f>
        <v>2081</v>
      </c>
      <c r="D1029" s="1085">
        <f t="shared" si="93"/>
        <v>0</v>
      </c>
      <c r="E1029" s="560">
        <f t="shared" si="94"/>
        <v>0</v>
      </c>
      <c r="F1029" s="560">
        <f t="shared" si="87"/>
        <v>0</v>
      </c>
      <c r="G1029" s="559">
        <f t="shared" si="88"/>
        <v>0</v>
      </c>
      <c r="H1029" s="561">
        <f>+J965*G1029+E1029</f>
        <v>0</v>
      </c>
      <c r="I1029" s="561">
        <f>+J966*G1029+E1029</f>
        <v>0</v>
      </c>
      <c r="J1029" s="562">
        <f t="shared" si="89"/>
        <v>0</v>
      </c>
      <c r="K1029" s="552"/>
      <c r="L1029" s="573"/>
      <c r="M1029" s="562">
        <f t="shared" si="90"/>
        <v>0</v>
      </c>
      <c r="N1029" s="573"/>
      <c r="O1029" s="562">
        <f t="shared" si="91"/>
        <v>0</v>
      </c>
      <c r="P1029" s="562">
        <f t="shared" si="92"/>
        <v>0</v>
      </c>
    </row>
    <row r="1030" spans="2:16">
      <c r="C1030" s="506" t="s">
        <v>91</v>
      </c>
      <c r="D1030" s="503"/>
      <c r="E1030" s="503">
        <f>SUM(E970:E1029)</f>
        <v>23928051.710000001</v>
      </c>
      <c r="F1030" s="503"/>
      <c r="G1030" s="503"/>
      <c r="H1030" s="503">
        <f>SUM(H970:H1029)</f>
        <v>72546221.150893718</v>
      </c>
      <c r="I1030" s="503">
        <f>SUM(I970:I1029)</f>
        <v>72546221.150893718</v>
      </c>
      <c r="J1030" s="503">
        <f>SUM(J970:J1029)</f>
        <v>0</v>
      </c>
      <c r="K1030" s="503"/>
      <c r="L1030" s="503"/>
      <c r="M1030" s="503"/>
      <c r="N1030" s="503"/>
      <c r="O1030" s="503"/>
    </row>
    <row r="1031" spans="2:16">
      <c r="D1031" s="47"/>
      <c r="E1031" s="3"/>
      <c r="F1031" s="3"/>
      <c r="G1031" s="3"/>
      <c r="H1031" s="3"/>
      <c r="I1031" s="490"/>
      <c r="J1031" s="490"/>
      <c r="K1031" s="503"/>
      <c r="L1031" s="490"/>
      <c r="M1031" s="490"/>
      <c r="N1031" s="490"/>
      <c r="O1031" s="490"/>
    </row>
    <row r="1032" spans="2:16">
      <c r="C1032" s="3" t="s">
        <v>13</v>
      </c>
      <c r="D1032" s="47"/>
      <c r="E1032" s="3"/>
      <c r="F1032" s="3"/>
      <c r="G1032" s="3"/>
      <c r="H1032" s="3"/>
      <c r="I1032" s="490"/>
      <c r="J1032" s="490"/>
      <c r="K1032" s="503"/>
      <c r="L1032" s="490"/>
      <c r="M1032" s="490"/>
      <c r="N1032" s="490"/>
      <c r="O1032" s="490"/>
    </row>
    <row r="1033" spans="2:16">
      <c r="C1033" s="3"/>
      <c r="D1033" s="47"/>
      <c r="E1033" s="3"/>
      <c r="F1033" s="3"/>
      <c r="G1033" s="3"/>
      <c r="H1033" s="3"/>
      <c r="I1033" s="490"/>
      <c r="J1033" s="490"/>
      <c r="K1033" s="503"/>
      <c r="L1033" s="490"/>
      <c r="M1033" s="490"/>
      <c r="N1033" s="490"/>
      <c r="O1033" s="490"/>
    </row>
    <row r="1034" spans="2:16">
      <c r="C1034" s="518" t="s">
        <v>14</v>
      </c>
      <c r="D1034" s="506"/>
      <c r="E1034" s="506"/>
      <c r="F1034" s="506"/>
      <c r="G1034" s="506"/>
      <c r="H1034" s="503"/>
      <c r="I1034" s="503"/>
      <c r="J1034" s="564"/>
      <c r="K1034" s="564"/>
      <c r="L1034" s="564"/>
      <c r="M1034" s="564"/>
      <c r="N1034" s="564"/>
      <c r="O1034" s="564"/>
    </row>
    <row r="1035" spans="2:16">
      <c r="C1035" s="507" t="s">
        <v>271</v>
      </c>
      <c r="D1035" s="506"/>
      <c r="E1035" s="506"/>
      <c r="F1035" s="506"/>
      <c r="G1035" s="506"/>
      <c r="H1035" s="503"/>
      <c r="I1035" s="503"/>
      <c r="J1035" s="564"/>
      <c r="K1035" s="564"/>
      <c r="L1035" s="564"/>
      <c r="M1035" s="564"/>
      <c r="N1035" s="564"/>
      <c r="O1035" s="564"/>
    </row>
    <row r="1036" spans="2:16">
      <c r="C1036" s="507" t="s">
        <v>92</v>
      </c>
      <c r="D1036" s="506"/>
      <c r="E1036" s="506"/>
      <c r="F1036" s="506"/>
      <c r="G1036" s="506"/>
      <c r="H1036" s="503"/>
      <c r="I1036" s="503"/>
      <c r="J1036" s="564"/>
      <c r="K1036" s="564"/>
      <c r="L1036" s="564"/>
      <c r="M1036" s="564"/>
      <c r="N1036" s="564"/>
      <c r="O1036" s="564"/>
    </row>
    <row r="1037" spans="2:16" ht="18">
      <c r="B1037" s="449" t="s">
        <v>472</v>
      </c>
      <c r="C1037" s="122" t="s">
        <v>93</v>
      </c>
      <c r="D1037" s="47"/>
      <c r="E1037" s="3"/>
      <c r="F1037" s="3"/>
      <c r="G1037" s="3"/>
      <c r="H1037" s="3"/>
      <c r="I1037" s="490"/>
      <c r="J1037" s="490"/>
      <c r="K1037" s="503"/>
      <c r="L1037" s="490"/>
      <c r="M1037" s="490"/>
      <c r="N1037" s="490"/>
      <c r="O1037" s="490"/>
    </row>
    <row r="1038" spans="2:16" ht="18.75">
      <c r="B1038" s="449"/>
      <c r="C1038" s="6"/>
      <c r="D1038" s="47"/>
      <c r="E1038" s="3"/>
      <c r="F1038" s="3"/>
      <c r="G1038" s="3"/>
      <c r="H1038" s="3"/>
      <c r="I1038" s="490"/>
      <c r="J1038" s="490"/>
      <c r="K1038" s="503"/>
      <c r="L1038" s="490"/>
      <c r="M1038" s="490"/>
      <c r="N1038" s="490"/>
      <c r="O1038" s="490"/>
    </row>
    <row r="1039" spans="2:16" ht="18.75">
      <c r="B1039" s="449"/>
      <c r="C1039" s="6" t="s">
        <v>94</v>
      </c>
      <c r="D1039" s="47"/>
      <c r="E1039" s="3"/>
      <c r="F1039" s="3"/>
      <c r="G1039" s="3"/>
      <c r="H1039" s="3"/>
      <c r="I1039" s="490"/>
      <c r="J1039" s="490"/>
      <c r="K1039" s="503"/>
      <c r="L1039" s="490"/>
      <c r="M1039" s="490"/>
      <c r="N1039" s="490"/>
      <c r="O1039" s="490"/>
    </row>
    <row r="1040" spans="2:16" ht="15.75" thickBot="1">
      <c r="C1040" s="132"/>
      <c r="D1040" s="47"/>
      <c r="E1040" s="3"/>
      <c r="F1040" s="3"/>
      <c r="G1040" s="3"/>
      <c r="H1040" s="3"/>
      <c r="I1040" s="490"/>
      <c r="J1040" s="490"/>
      <c r="K1040" s="503"/>
      <c r="L1040" s="490"/>
      <c r="M1040" s="490"/>
      <c r="N1040" s="490"/>
      <c r="O1040" s="490"/>
    </row>
    <row r="1041" spans="2:16" ht="15.75">
      <c r="C1041" s="451" t="s">
        <v>95</v>
      </c>
      <c r="D1041" s="47"/>
      <c r="E1041" s="3"/>
      <c r="F1041" s="3"/>
      <c r="G1041" s="3"/>
      <c r="H1041" s="566"/>
      <c r="I1041" s="3" t="s">
        <v>74</v>
      </c>
      <c r="J1041" s="3"/>
      <c r="K1041" s="3"/>
      <c r="L1041" s="593">
        <f>+J1047</f>
        <v>2025</v>
      </c>
      <c r="M1041" s="576" t="s">
        <v>52</v>
      </c>
      <c r="N1041" s="576" t="s">
        <v>53</v>
      </c>
      <c r="O1041" s="577" t="s">
        <v>55</v>
      </c>
    </row>
    <row r="1042" spans="2:16" ht="15.75">
      <c r="C1042" s="451"/>
      <c r="D1042" s="47"/>
      <c r="E1042" s="3"/>
      <c r="F1042" s="3"/>
      <c r="H1042" s="3"/>
      <c r="I1042" s="513"/>
      <c r="J1042" s="513"/>
      <c r="K1042" s="514"/>
      <c r="L1042" s="594" t="s">
        <v>243</v>
      </c>
      <c r="M1042" s="595">
        <f>VLOOKUP(J1047,C1054:P1113,10)</f>
        <v>837625.95570337924</v>
      </c>
      <c r="N1042" s="595">
        <f>VLOOKUP(J1047,C1054:P1113,12)</f>
        <v>837625.95570337924</v>
      </c>
      <c r="O1042" s="596">
        <f>+N1042-M1042</f>
        <v>0</v>
      </c>
    </row>
    <row r="1043" spans="2:16">
      <c r="C1043" s="518" t="s">
        <v>96</v>
      </c>
      <c r="D1043" s="1210" t="s">
        <v>998</v>
      </c>
      <c r="E1043" s="1210"/>
      <c r="F1043" s="1210"/>
      <c r="G1043" s="1210"/>
      <c r="H1043" s="1210"/>
      <c r="I1043" s="1210"/>
      <c r="J1043" s="490"/>
      <c r="K1043" s="503"/>
      <c r="L1043" s="594" t="s">
        <v>244</v>
      </c>
      <c r="M1043" s="597">
        <f>VLOOKUP(J1047,C1054:P1113,6)</f>
        <v>812956.59947534383</v>
      </c>
      <c r="N1043" s="597">
        <f>VLOOKUP(J1047,C1054:P1113,7)</f>
        <v>812956.59947534383</v>
      </c>
      <c r="O1043" s="598">
        <f>+N1043-M1043</f>
        <v>0</v>
      </c>
    </row>
    <row r="1044" spans="2:16" ht="13.5" thickBot="1">
      <c r="C1044" s="522"/>
      <c r="D1044" s="1210"/>
      <c r="E1044" s="1210"/>
      <c r="F1044" s="1210"/>
      <c r="G1044" s="1210"/>
      <c r="H1044" s="1210"/>
      <c r="I1044" s="1210"/>
      <c r="J1044" s="490"/>
      <c r="K1044" s="503"/>
      <c r="L1044" s="533" t="s">
        <v>245</v>
      </c>
      <c r="M1044" s="599">
        <f>+M1043-M1042</f>
        <v>-24669.356228035409</v>
      </c>
      <c r="N1044" s="599">
        <f>+N1043-N1042</f>
        <v>-24669.356228035409</v>
      </c>
      <c r="O1044" s="600">
        <f>+O1043-O1042</f>
        <v>0</v>
      </c>
    </row>
    <row r="1045" spans="2:16" ht="13.5" thickBot="1">
      <c r="C1045" s="522"/>
      <c r="D1045" s="3"/>
      <c r="E1045" s="524"/>
      <c r="F1045" s="524"/>
      <c r="G1045" s="524"/>
      <c r="H1045" s="524"/>
      <c r="I1045" s="524"/>
      <c r="J1045" s="524"/>
      <c r="K1045" s="524"/>
      <c r="L1045" s="524"/>
      <c r="M1045" s="524"/>
      <c r="N1045" s="524"/>
      <c r="O1045" s="524"/>
    </row>
    <row r="1046" spans="2:16" ht="13.5" thickBot="1">
      <c r="C1046" s="525" t="s">
        <v>97</v>
      </c>
      <c r="D1046" s="526"/>
      <c r="E1046" s="526"/>
      <c r="F1046" s="526"/>
      <c r="G1046" s="526"/>
      <c r="H1046" s="526"/>
      <c r="I1046" s="526"/>
      <c r="J1046" s="526"/>
    </row>
    <row r="1047" spans="2:16" ht="15">
      <c r="C1047" s="528" t="s">
        <v>75</v>
      </c>
      <c r="D1047" s="568">
        <v>6031534.8899999997</v>
      </c>
      <c r="E1047" s="3" t="s">
        <v>76</v>
      </c>
      <c r="H1047" s="47"/>
      <c r="I1047" s="47"/>
      <c r="J1047" s="529">
        <f>$J$93</f>
        <v>2025</v>
      </c>
      <c r="K1047" s="70"/>
      <c r="L1047" s="1211" t="s">
        <v>77</v>
      </c>
      <c r="M1047" s="1211"/>
      <c r="N1047" s="1211"/>
      <c r="O1047" s="1211"/>
    </row>
    <row r="1048" spans="2:16">
      <c r="C1048" s="528" t="s">
        <v>78</v>
      </c>
      <c r="D1048" s="569">
        <v>2024</v>
      </c>
      <c r="E1048" s="528" t="s">
        <v>79</v>
      </c>
      <c r="F1048" s="47"/>
      <c r="G1048" s="47"/>
      <c r="I1048"/>
      <c r="J1048" s="570">
        <f>IF(H1041="",0,$F$17)</f>
        <v>0</v>
      </c>
      <c r="K1048" s="530"/>
      <c r="L1048" s="503" t="s">
        <v>285</v>
      </c>
    </row>
    <row r="1049" spans="2:16">
      <c r="C1049" s="528" t="s">
        <v>80</v>
      </c>
      <c r="D1049" s="568">
        <v>5</v>
      </c>
      <c r="E1049" s="528" t="s">
        <v>81</v>
      </c>
      <c r="F1049" s="47"/>
      <c r="G1049" s="47"/>
      <c r="I1049"/>
      <c r="J1049" s="531">
        <f>$F$70</f>
        <v>0.11032660055737779</v>
      </c>
      <c r="K1049" s="489"/>
      <c r="L1049" s="3" t="str">
        <f>"          INPUT TRUE-UP ARR (WITH &amp; WITHOUT INCENTIVES) FROM EACH PRIOR YEAR"</f>
        <v xml:space="preserve">          INPUT TRUE-UP ARR (WITH &amp; WITHOUT INCENTIVES) FROM EACH PRIOR YEAR</v>
      </c>
    </row>
    <row r="1050" spans="2:16">
      <c r="C1050" s="528" t="s">
        <v>82</v>
      </c>
      <c r="D1050" s="532">
        <f>H$79</f>
        <v>36</v>
      </c>
      <c r="E1050" s="528" t="s">
        <v>83</v>
      </c>
      <c r="F1050" s="47"/>
      <c r="G1050" s="47"/>
      <c r="I1050"/>
      <c r="J1050" s="531">
        <f>IF(H1041="",+J1049,$F$69)</f>
        <v>0.11032660055737779</v>
      </c>
      <c r="K1050" s="489"/>
      <c r="L1050" s="3" t="s">
        <v>165</v>
      </c>
      <c r="M1050" s="489"/>
      <c r="N1050" s="489"/>
      <c r="O1050" s="489"/>
    </row>
    <row r="1051" spans="2:16" ht="13.5" thickBot="1">
      <c r="C1051" s="528" t="s">
        <v>84</v>
      </c>
      <c r="D1051" s="969" t="s">
        <v>812</v>
      </c>
      <c r="E1051" s="533" t="s">
        <v>85</v>
      </c>
      <c r="F1051" s="534"/>
      <c r="G1051" s="534"/>
      <c r="H1051" s="535"/>
      <c r="I1051" s="535"/>
      <c r="J1051" s="521">
        <f>IF(D1047=0,0,D1047/D1050)</f>
        <v>167542.63583333333</v>
      </c>
      <c r="K1051" s="503"/>
      <c r="L1051" s="503" t="s">
        <v>166</v>
      </c>
      <c r="M1051" s="503"/>
      <c r="N1051" s="503"/>
      <c r="O1051" s="503"/>
    </row>
    <row r="1052" spans="2:16" ht="38.25">
      <c r="B1052" s="450"/>
      <c r="C1052" s="536" t="s">
        <v>75</v>
      </c>
      <c r="D1052" s="537" t="s">
        <v>86</v>
      </c>
      <c r="E1052" s="538" t="s">
        <v>87</v>
      </c>
      <c r="F1052" s="537" t="s">
        <v>88</v>
      </c>
      <c r="G1052" s="537" t="s">
        <v>246</v>
      </c>
      <c r="H1052" s="538" t="s">
        <v>159</v>
      </c>
      <c r="I1052" s="539" t="s">
        <v>159</v>
      </c>
      <c r="J1052" s="536" t="s">
        <v>98</v>
      </c>
      <c r="K1052" s="540"/>
      <c r="L1052" s="538" t="s">
        <v>161</v>
      </c>
      <c r="M1052" s="538" t="s">
        <v>167</v>
      </c>
      <c r="N1052" s="538" t="s">
        <v>161</v>
      </c>
      <c r="O1052" s="538" t="s">
        <v>169</v>
      </c>
      <c r="P1052" s="538" t="s">
        <v>89</v>
      </c>
    </row>
    <row r="1053" spans="2:16" ht="13.5" thickBot="1">
      <c r="C1053" s="542" t="s">
        <v>475</v>
      </c>
      <c r="D1053" s="543" t="s">
        <v>476</v>
      </c>
      <c r="E1053" s="542" t="s">
        <v>369</v>
      </c>
      <c r="F1053" s="543" t="s">
        <v>476</v>
      </c>
      <c r="G1053" s="543" t="s">
        <v>476</v>
      </c>
      <c r="H1053" s="544" t="s">
        <v>101</v>
      </c>
      <c r="I1053" s="545" t="s">
        <v>103</v>
      </c>
      <c r="J1053" s="542" t="s">
        <v>15</v>
      </c>
      <c r="K1053" s="546"/>
      <c r="L1053" s="544" t="s">
        <v>90</v>
      </c>
      <c r="M1053" s="544" t="s">
        <v>90</v>
      </c>
      <c r="N1053" s="544" t="s">
        <v>263</v>
      </c>
      <c r="O1053" s="544" t="s">
        <v>263</v>
      </c>
      <c r="P1053" s="544" t="s">
        <v>263</v>
      </c>
    </row>
    <row r="1054" spans="2:16">
      <c r="C1054" s="548">
        <f>IF(D1048= "","-",D1048)</f>
        <v>2024</v>
      </c>
      <c r="D1054" s="506">
        <f>+D1047</f>
        <v>6031534.8899999997</v>
      </c>
      <c r="E1054" s="554">
        <f>+J1051/12*(12-D1049)</f>
        <v>97733.204236111109</v>
      </c>
      <c r="F1054" s="601">
        <f t="shared" ref="F1054:F1113" si="95">+D1054-E1054</f>
        <v>5933801.685763889</v>
      </c>
      <c r="G1054" s="506">
        <f t="shared" ref="G1054:G1113" si="96">+(D1054+F1054)/2</f>
        <v>5982668.2878819443</v>
      </c>
      <c r="H1054" s="550">
        <f>+J1049*G1054+E1054</f>
        <v>757780.6587005537</v>
      </c>
      <c r="I1054" s="551">
        <f>+J1050*G1054+E1054</f>
        <v>757780.6587005537</v>
      </c>
      <c r="J1054" s="552">
        <f t="shared" ref="J1054:J1113" si="97">+I1054-H1054</f>
        <v>0</v>
      </c>
      <c r="K1054" s="552"/>
      <c r="L1054" s="571">
        <v>790848.96678198583</v>
      </c>
      <c r="M1054" s="602">
        <f t="shared" ref="M1054:M1113" si="98">IF(L1054&lt;&gt;0,+H1054-L1054,0)</f>
        <v>-33068.308081432129</v>
      </c>
      <c r="N1054" s="571">
        <v>790848.96678198583</v>
      </c>
      <c r="O1054" s="602">
        <f t="shared" ref="O1054:O1113" si="99">IF(N1054&lt;&gt;0,+I1054-N1054,0)</f>
        <v>-33068.308081432129</v>
      </c>
      <c r="P1054" s="602">
        <f t="shared" ref="P1054:P1113" si="100">+O1054-M1054</f>
        <v>0</v>
      </c>
    </row>
    <row r="1055" spans="2:16">
      <c r="C1055" s="548">
        <f>IF(D1048="","-",+C1054+1)</f>
        <v>2025</v>
      </c>
      <c r="D1055" s="970">
        <f t="shared" ref="D1055:D1113" si="101">F1054</f>
        <v>5933801.685763889</v>
      </c>
      <c r="E1055" s="549">
        <f>IF(D1055&gt;$J$1051,$J$1051,D1055)</f>
        <v>167542.63583333333</v>
      </c>
      <c r="F1055" s="549">
        <f t="shared" si="95"/>
        <v>5766259.0499305557</v>
      </c>
      <c r="G1055" s="506">
        <f t="shared" si="96"/>
        <v>5850030.3678472228</v>
      </c>
      <c r="H1055" s="554">
        <f>+J1049*G1055+E1055</f>
        <v>812956.59947534383</v>
      </c>
      <c r="I1055" s="555">
        <f>+J1050*G1055+E1055</f>
        <v>812956.59947534383</v>
      </c>
      <c r="J1055" s="552">
        <f t="shared" si="97"/>
        <v>0</v>
      </c>
      <c r="K1055" s="552"/>
      <c r="L1055" s="572">
        <v>837625.95570337924</v>
      </c>
      <c r="M1055" s="552">
        <f t="shared" si="98"/>
        <v>-24669.356228035409</v>
      </c>
      <c r="N1055" s="572">
        <v>837625.95570337924</v>
      </c>
      <c r="O1055" s="552">
        <f t="shared" si="99"/>
        <v>-24669.356228035409</v>
      </c>
      <c r="P1055" s="552">
        <f t="shared" si="100"/>
        <v>0</v>
      </c>
    </row>
    <row r="1056" spans="2:16">
      <c r="C1056" s="548">
        <f>IF(D1048="","-",+C1055+1)</f>
        <v>2026</v>
      </c>
      <c r="D1056" s="506">
        <f t="shared" si="101"/>
        <v>5766259.0499305557</v>
      </c>
      <c r="E1056" s="549">
        <f t="shared" ref="E1056:E1112" si="102">IF(D1056&gt;$J$1051,$J$1051,D1056)</f>
        <v>167542.63583333333</v>
      </c>
      <c r="F1056" s="549">
        <f t="shared" si="95"/>
        <v>5598716.4140972225</v>
      </c>
      <c r="G1056" s="506">
        <f t="shared" si="96"/>
        <v>5682487.7320138887</v>
      </c>
      <c r="H1056" s="554">
        <f>+J1049*G1056+E1056</f>
        <v>794472.19001542928</v>
      </c>
      <c r="I1056" s="555">
        <f>+J1050*G1056+E1056</f>
        <v>794472.19001542928</v>
      </c>
      <c r="J1056" s="552">
        <f t="shared" si="97"/>
        <v>0</v>
      </c>
      <c r="K1056" s="552"/>
      <c r="L1056" s="572"/>
      <c r="M1056" s="552">
        <f t="shared" si="98"/>
        <v>0</v>
      </c>
      <c r="N1056" s="572"/>
      <c r="O1056" s="552">
        <f t="shared" si="99"/>
        <v>0</v>
      </c>
      <c r="P1056" s="552">
        <f t="shared" si="100"/>
        <v>0</v>
      </c>
    </row>
    <row r="1057" spans="3:16">
      <c r="C1057" s="548">
        <f>IF(D1048="","-",+C1056+1)</f>
        <v>2027</v>
      </c>
      <c r="D1057" s="506">
        <f t="shared" si="101"/>
        <v>5598716.4140972225</v>
      </c>
      <c r="E1057" s="549">
        <f t="shared" si="102"/>
        <v>167542.63583333333</v>
      </c>
      <c r="F1057" s="549">
        <f t="shared" si="95"/>
        <v>5431173.7782638893</v>
      </c>
      <c r="G1057" s="506">
        <f t="shared" si="96"/>
        <v>5514945.0961805563</v>
      </c>
      <c r="H1057" s="554">
        <f>+J1049*G1057+E1057</f>
        <v>775987.78055551508</v>
      </c>
      <c r="I1057" s="555">
        <f>+J1050*G1057+E1057</f>
        <v>775987.78055551508</v>
      </c>
      <c r="J1057" s="552">
        <f t="shared" si="97"/>
        <v>0</v>
      </c>
      <c r="K1057" s="552"/>
      <c r="L1057" s="572"/>
      <c r="M1057" s="552">
        <f t="shared" si="98"/>
        <v>0</v>
      </c>
      <c r="N1057" s="572"/>
      <c r="O1057" s="552">
        <f t="shared" si="99"/>
        <v>0</v>
      </c>
      <c r="P1057" s="552">
        <f t="shared" si="100"/>
        <v>0</v>
      </c>
    </row>
    <row r="1058" spans="3:16">
      <c r="C1058" s="548">
        <f>IF(D1048="","-",+C1057+1)</f>
        <v>2028</v>
      </c>
      <c r="D1058" s="506">
        <f t="shared" si="101"/>
        <v>5431173.7782638893</v>
      </c>
      <c r="E1058" s="549">
        <f t="shared" si="102"/>
        <v>167542.63583333333</v>
      </c>
      <c r="F1058" s="549">
        <f t="shared" si="95"/>
        <v>5263631.142430556</v>
      </c>
      <c r="G1058" s="506">
        <f t="shared" si="96"/>
        <v>5347402.4603472222</v>
      </c>
      <c r="H1058" s="554">
        <f>+J1049*G1058+E1058</f>
        <v>757503.37109560054</v>
      </c>
      <c r="I1058" s="555">
        <f>+J1050*G1058+E1058</f>
        <v>757503.37109560054</v>
      </c>
      <c r="J1058" s="552">
        <f t="shared" si="97"/>
        <v>0</v>
      </c>
      <c r="K1058" s="552"/>
      <c r="L1058" s="572"/>
      <c r="M1058" s="552">
        <f t="shared" si="98"/>
        <v>0</v>
      </c>
      <c r="N1058" s="572"/>
      <c r="O1058" s="552">
        <f t="shared" si="99"/>
        <v>0</v>
      </c>
      <c r="P1058" s="552">
        <f t="shared" si="100"/>
        <v>0</v>
      </c>
    </row>
    <row r="1059" spans="3:16">
      <c r="C1059" s="548">
        <f>IF(D1048="","-",+C1058+1)</f>
        <v>2029</v>
      </c>
      <c r="D1059" s="506">
        <f t="shared" si="101"/>
        <v>5263631.142430556</v>
      </c>
      <c r="E1059" s="549">
        <f t="shared" si="102"/>
        <v>167542.63583333333</v>
      </c>
      <c r="F1059" s="549">
        <f t="shared" si="95"/>
        <v>5096088.5065972228</v>
      </c>
      <c r="G1059" s="506">
        <f t="shared" si="96"/>
        <v>5179859.8245138898</v>
      </c>
      <c r="H1059" s="554">
        <f>+J1049*G1059+E1059</f>
        <v>739018.96163568634</v>
      </c>
      <c r="I1059" s="555">
        <f>+J1050*G1059+E1059</f>
        <v>739018.96163568634</v>
      </c>
      <c r="J1059" s="552">
        <f t="shared" si="97"/>
        <v>0</v>
      </c>
      <c r="K1059" s="552"/>
      <c r="L1059" s="572"/>
      <c r="M1059" s="552">
        <f t="shared" si="98"/>
        <v>0</v>
      </c>
      <c r="N1059" s="572"/>
      <c r="O1059" s="552">
        <f t="shared" si="99"/>
        <v>0</v>
      </c>
      <c r="P1059" s="552">
        <f t="shared" si="100"/>
        <v>0</v>
      </c>
    </row>
    <row r="1060" spans="3:16">
      <c r="C1060" s="548">
        <f>IF(D1048="","-",+C1059+1)</f>
        <v>2030</v>
      </c>
      <c r="D1060" s="506">
        <f t="shared" si="101"/>
        <v>5096088.5065972228</v>
      </c>
      <c r="E1060" s="549">
        <f t="shared" si="102"/>
        <v>167542.63583333333</v>
      </c>
      <c r="F1060" s="549">
        <f t="shared" si="95"/>
        <v>4928545.8707638895</v>
      </c>
      <c r="G1060" s="506">
        <f t="shared" si="96"/>
        <v>5012317.1886805557</v>
      </c>
      <c r="H1060" s="554">
        <f>+J1049*G1060+E1060</f>
        <v>720534.55217577179</v>
      </c>
      <c r="I1060" s="555">
        <f>+J1050*G1060+E1060</f>
        <v>720534.55217577179</v>
      </c>
      <c r="J1060" s="552">
        <f t="shared" si="97"/>
        <v>0</v>
      </c>
      <c r="K1060" s="552"/>
      <c r="L1060" s="572"/>
      <c r="M1060" s="552">
        <f t="shared" si="98"/>
        <v>0</v>
      </c>
      <c r="N1060" s="572"/>
      <c r="O1060" s="552">
        <f t="shared" si="99"/>
        <v>0</v>
      </c>
      <c r="P1060" s="552">
        <f t="shared" si="100"/>
        <v>0</v>
      </c>
    </row>
    <row r="1061" spans="3:16">
      <c r="C1061" s="548">
        <f>IF(D1048="","-",+C1060+1)</f>
        <v>2031</v>
      </c>
      <c r="D1061" s="506">
        <f t="shared" si="101"/>
        <v>4928545.8707638895</v>
      </c>
      <c r="E1061" s="549">
        <f t="shared" si="102"/>
        <v>167542.63583333333</v>
      </c>
      <c r="F1061" s="549">
        <f t="shared" si="95"/>
        <v>4761003.2349305563</v>
      </c>
      <c r="G1061" s="506">
        <f t="shared" si="96"/>
        <v>4844774.5528472234</v>
      </c>
      <c r="H1061" s="554">
        <f>+J1049*G1061+E1061</f>
        <v>702050.1427158576</v>
      </c>
      <c r="I1061" s="555">
        <f>+J1050*G1061+E1061</f>
        <v>702050.1427158576</v>
      </c>
      <c r="J1061" s="552">
        <f t="shared" si="97"/>
        <v>0</v>
      </c>
      <c r="K1061" s="552"/>
      <c r="L1061" s="572"/>
      <c r="M1061" s="552">
        <f t="shared" si="98"/>
        <v>0</v>
      </c>
      <c r="N1061" s="572"/>
      <c r="O1061" s="552">
        <f t="shared" si="99"/>
        <v>0</v>
      </c>
      <c r="P1061" s="552">
        <f t="shared" si="100"/>
        <v>0</v>
      </c>
    </row>
    <row r="1062" spans="3:16">
      <c r="C1062" s="548">
        <f>IF(D1048="","-",+C1061+1)</f>
        <v>2032</v>
      </c>
      <c r="D1062" s="506">
        <f t="shared" si="101"/>
        <v>4761003.2349305563</v>
      </c>
      <c r="E1062" s="549">
        <f t="shared" si="102"/>
        <v>167542.63583333333</v>
      </c>
      <c r="F1062" s="549">
        <f t="shared" si="95"/>
        <v>4593460.599097223</v>
      </c>
      <c r="G1062" s="506">
        <f t="shared" si="96"/>
        <v>4677231.9170138892</v>
      </c>
      <c r="H1062" s="554">
        <f>+J1049*G1062+E1062</f>
        <v>683565.73325594305</v>
      </c>
      <c r="I1062" s="555">
        <f>+J1050*G1062+E1062</f>
        <v>683565.73325594305</v>
      </c>
      <c r="J1062" s="552">
        <f t="shared" si="97"/>
        <v>0</v>
      </c>
      <c r="K1062" s="552"/>
      <c r="L1062" s="572"/>
      <c r="M1062" s="552">
        <f t="shared" si="98"/>
        <v>0</v>
      </c>
      <c r="N1062" s="572"/>
      <c r="O1062" s="552">
        <f t="shared" si="99"/>
        <v>0</v>
      </c>
      <c r="P1062" s="552">
        <f t="shared" si="100"/>
        <v>0</v>
      </c>
    </row>
    <row r="1063" spans="3:16">
      <c r="C1063" s="548">
        <f>IF(D1048="","-",+C1062+1)</f>
        <v>2033</v>
      </c>
      <c r="D1063" s="506">
        <f t="shared" si="101"/>
        <v>4593460.599097223</v>
      </c>
      <c r="E1063" s="549">
        <f t="shared" si="102"/>
        <v>167542.63583333333</v>
      </c>
      <c r="F1063" s="549">
        <f t="shared" si="95"/>
        <v>4425917.9632638898</v>
      </c>
      <c r="G1063" s="506">
        <f t="shared" si="96"/>
        <v>4509689.2811805569</v>
      </c>
      <c r="H1063" s="554">
        <f>+J1049*G1063+E1063</f>
        <v>665081.32379602885</v>
      </c>
      <c r="I1063" s="555">
        <f>+J1050*G1063+E1063</f>
        <v>665081.32379602885</v>
      </c>
      <c r="J1063" s="552">
        <f t="shared" si="97"/>
        <v>0</v>
      </c>
      <c r="K1063" s="552"/>
      <c r="L1063" s="572"/>
      <c r="M1063" s="552">
        <f t="shared" si="98"/>
        <v>0</v>
      </c>
      <c r="N1063" s="572"/>
      <c r="O1063" s="552">
        <f t="shared" si="99"/>
        <v>0</v>
      </c>
      <c r="P1063" s="552">
        <f t="shared" si="100"/>
        <v>0</v>
      </c>
    </row>
    <row r="1064" spans="3:16">
      <c r="C1064" s="548">
        <f>IF(D1048="","-",+C1063+1)</f>
        <v>2034</v>
      </c>
      <c r="D1064" s="506">
        <f t="shared" si="101"/>
        <v>4425917.9632638898</v>
      </c>
      <c r="E1064" s="549">
        <f t="shared" si="102"/>
        <v>167542.63583333333</v>
      </c>
      <c r="F1064" s="549">
        <f t="shared" si="95"/>
        <v>4258375.3274305565</v>
      </c>
      <c r="G1064" s="506">
        <f t="shared" si="96"/>
        <v>4342146.6453472227</v>
      </c>
      <c r="H1064" s="554">
        <f>+J1049*G1064+E1064</f>
        <v>646596.91433611431</v>
      </c>
      <c r="I1064" s="555">
        <f>+J1050*G1064+E1064</f>
        <v>646596.91433611431</v>
      </c>
      <c r="J1064" s="552">
        <f t="shared" si="97"/>
        <v>0</v>
      </c>
      <c r="K1064" s="552"/>
      <c r="L1064" s="572"/>
      <c r="M1064" s="552">
        <f t="shared" si="98"/>
        <v>0</v>
      </c>
      <c r="N1064" s="572"/>
      <c r="O1064" s="552">
        <f t="shared" si="99"/>
        <v>0</v>
      </c>
      <c r="P1064" s="552">
        <f t="shared" si="100"/>
        <v>0</v>
      </c>
    </row>
    <row r="1065" spans="3:16">
      <c r="C1065" s="548">
        <f>IF(D1048="","-",+C1064+1)</f>
        <v>2035</v>
      </c>
      <c r="D1065" s="506">
        <f t="shared" si="101"/>
        <v>4258375.3274305565</v>
      </c>
      <c r="E1065" s="549">
        <f t="shared" si="102"/>
        <v>167542.63583333333</v>
      </c>
      <c r="F1065" s="549">
        <f t="shared" si="95"/>
        <v>4090832.6915972233</v>
      </c>
      <c r="G1065" s="506">
        <f t="shared" si="96"/>
        <v>4174604.0095138899</v>
      </c>
      <c r="H1065" s="554">
        <f>+J1049*G1065+E1065</f>
        <v>628112.50487619999</v>
      </c>
      <c r="I1065" s="555">
        <f>+J1050*G1065+E1065</f>
        <v>628112.50487619999</v>
      </c>
      <c r="J1065" s="552">
        <f t="shared" si="97"/>
        <v>0</v>
      </c>
      <c r="K1065" s="552"/>
      <c r="L1065" s="572"/>
      <c r="M1065" s="552">
        <f t="shared" si="98"/>
        <v>0</v>
      </c>
      <c r="N1065" s="572"/>
      <c r="O1065" s="552">
        <f t="shared" si="99"/>
        <v>0</v>
      </c>
      <c r="P1065" s="552">
        <f t="shared" si="100"/>
        <v>0</v>
      </c>
    </row>
    <row r="1066" spans="3:16">
      <c r="C1066" s="548">
        <f>IF(D1048="","-",+C1065+1)</f>
        <v>2036</v>
      </c>
      <c r="D1066" s="506">
        <f t="shared" si="101"/>
        <v>4090832.6915972233</v>
      </c>
      <c r="E1066" s="549">
        <f t="shared" si="102"/>
        <v>167542.63583333333</v>
      </c>
      <c r="F1066" s="549">
        <f t="shared" si="95"/>
        <v>3923290.05576389</v>
      </c>
      <c r="G1066" s="506">
        <f t="shared" si="96"/>
        <v>4007061.3736805567</v>
      </c>
      <c r="H1066" s="554">
        <f>+J1049*G1066+E1066</f>
        <v>609628.09541628568</v>
      </c>
      <c r="I1066" s="555">
        <f>+J1050*G1066+E1066</f>
        <v>609628.09541628568</v>
      </c>
      <c r="J1066" s="552">
        <f t="shared" si="97"/>
        <v>0</v>
      </c>
      <c r="K1066" s="552"/>
      <c r="L1066" s="572"/>
      <c r="M1066" s="552">
        <f t="shared" si="98"/>
        <v>0</v>
      </c>
      <c r="N1066" s="572"/>
      <c r="O1066" s="552">
        <f t="shared" si="99"/>
        <v>0</v>
      </c>
      <c r="P1066" s="552">
        <f t="shared" si="100"/>
        <v>0</v>
      </c>
    </row>
    <row r="1067" spans="3:16">
      <c r="C1067" s="548">
        <f>IF(D1048="","-",+C1066+1)</f>
        <v>2037</v>
      </c>
      <c r="D1067" s="506">
        <f t="shared" si="101"/>
        <v>3923290.05576389</v>
      </c>
      <c r="E1067" s="549">
        <f t="shared" si="102"/>
        <v>167542.63583333333</v>
      </c>
      <c r="F1067" s="549">
        <f t="shared" si="95"/>
        <v>3755747.4199305568</v>
      </c>
      <c r="G1067" s="506">
        <f t="shared" si="96"/>
        <v>3839518.7378472234</v>
      </c>
      <c r="H1067" s="554">
        <f>+J1049*G1067+E1067</f>
        <v>591143.68595637125</v>
      </c>
      <c r="I1067" s="555">
        <f>+J1050*G1067+E1067</f>
        <v>591143.68595637125</v>
      </c>
      <c r="J1067" s="552">
        <f t="shared" si="97"/>
        <v>0</v>
      </c>
      <c r="K1067" s="552"/>
      <c r="L1067" s="572"/>
      <c r="M1067" s="552">
        <f t="shared" si="98"/>
        <v>0</v>
      </c>
      <c r="N1067" s="572"/>
      <c r="O1067" s="552">
        <f t="shared" si="99"/>
        <v>0</v>
      </c>
      <c r="P1067" s="552">
        <f t="shared" si="100"/>
        <v>0</v>
      </c>
    </row>
    <row r="1068" spans="3:16">
      <c r="C1068" s="548">
        <f>IF(D1048="","-",+C1067+1)</f>
        <v>2038</v>
      </c>
      <c r="D1068" s="506">
        <f t="shared" si="101"/>
        <v>3755747.4199305568</v>
      </c>
      <c r="E1068" s="549">
        <f t="shared" si="102"/>
        <v>167542.63583333333</v>
      </c>
      <c r="F1068" s="549">
        <f t="shared" si="95"/>
        <v>3588204.7840972235</v>
      </c>
      <c r="G1068" s="506">
        <f t="shared" si="96"/>
        <v>3671976.1020138902</v>
      </c>
      <c r="H1068" s="554">
        <f>+J1049*G1068+E1068</f>
        <v>572659.27649645694</v>
      </c>
      <c r="I1068" s="555">
        <f>+J1050*G1068+E1068</f>
        <v>572659.27649645694</v>
      </c>
      <c r="J1068" s="552">
        <f t="shared" si="97"/>
        <v>0</v>
      </c>
      <c r="K1068" s="552"/>
      <c r="L1068" s="572"/>
      <c r="M1068" s="552">
        <f t="shared" si="98"/>
        <v>0</v>
      </c>
      <c r="N1068" s="572"/>
      <c r="O1068" s="552">
        <f t="shared" si="99"/>
        <v>0</v>
      </c>
      <c r="P1068" s="552">
        <f t="shared" si="100"/>
        <v>0</v>
      </c>
    </row>
    <row r="1069" spans="3:16">
      <c r="C1069" s="548">
        <f>IF(D1048="","-",+C1068+1)</f>
        <v>2039</v>
      </c>
      <c r="D1069" s="506">
        <f t="shared" si="101"/>
        <v>3588204.7840972235</v>
      </c>
      <c r="E1069" s="549">
        <f t="shared" si="102"/>
        <v>167542.63583333333</v>
      </c>
      <c r="F1069" s="549">
        <f t="shared" si="95"/>
        <v>3420662.1482638903</v>
      </c>
      <c r="G1069" s="506">
        <f t="shared" si="96"/>
        <v>3504433.4661805569</v>
      </c>
      <c r="H1069" s="554">
        <f>+J1049*G1069+E1069</f>
        <v>554174.86703654251</v>
      </c>
      <c r="I1069" s="555">
        <f>+J1050*G1069+E1069</f>
        <v>554174.86703654251</v>
      </c>
      <c r="J1069" s="552">
        <f t="shared" si="97"/>
        <v>0</v>
      </c>
      <c r="K1069" s="552"/>
      <c r="L1069" s="572"/>
      <c r="M1069" s="552">
        <f t="shared" si="98"/>
        <v>0</v>
      </c>
      <c r="N1069" s="572"/>
      <c r="O1069" s="552">
        <f t="shared" si="99"/>
        <v>0</v>
      </c>
      <c r="P1069" s="552">
        <f t="shared" si="100"/>
        <v>0</v>
      </c>
    </row>
    <row r="1070" spans="3:16">
      <c r="C1070" s="548">
        <f>IF(D1048="","-",+C1069+1)</f>
        <v>2040</v>
      </c>
      <c r="D1070" s="506">
        <f t="shared" si="101"/>
        <v>3420662.1482638903</v>
      </c>
      <c r="E1070" s="549">
        <f t="shared" si="102"/>
        <v>167542.63583333333</v>
      </c>
      <c r="F1070" s="549">
        <f t="shared" si="95"/>
        <v>3253119.512430557</v>
      </c>
      <c r="G1070" s="506">
        <f t="shared" si="96"/>
        <v>3336890.8303472237</v>
      </c>
      <c r="H1070" s="554">
        <f>+J1049*G1070+E1070</f>
        <v>535690.45757662819</v>
      </c>
      <c r="I1070" s="555">
        <f>+J1050*G1070+E1070</f>
        <v>535690.45757662819</v>
      </c>
      <c r="J1070" s="552">
        <f t="shared" si="97"/>
        <v>0</v>
      </c>
      <c r="K1070" s="552"/>
      <c r="L1070" s="572"/>
      <c r="M1070" s="552">
        <f t="shared" si="98"/>
        <v>0</v>
      </c>
      <c r="N1070" s="572"/>
      <c r="O1070" s="552">
        <f t="shared" si="99"/>
        <v>0</v>
      </c>
      <c r="P1070" s="552">
        <f t="shared" si="100"/>
        <v>0</v>
      </c>
    </row>
    <row r="1071" spans="3:16">
      <c r="C1071" s="548">
        <f>IF(D1048="","-",+C1070+1)</f>
        <v>2041</v>
      </c>
      <c r="D1071" s="506">
        <f t="shared" si="101"/>
        <v>3253119.512430557</v>
      </c>
      <c r="E1071" s="549">
        <f t="shared" si="102"/>
        <v>167542.63583333333</v>
      </c>
      <c r="F1071" s="549">
        <f t="shared" si="95"/>
        <v>3085576.8765972238</v>
      </c>
      <c r="G1071" s="506">
        <f t="shared" si="96"/>
        <v>3169348.1945138904</v>
      </c>
      <c r="H1071" s="554">
        <f>+J1049*G1071+E1071</f>
        <v>517206.04811671388</v>
      </c>
      <c r="I1071" s="555">
        <f>+J1050*G1071+E1071</f>
        <v>517206.04811671388</v>
      </c>
      <c r="J1071" s="552">
        <f t="shared" si="97"/>
        <v>0</v>
      </c>
      <c r="K1071" s="552"/>
      <c r="L1071" s="572"/>
      <c r="M1071" s="552">
        <f t="shared" si="98"/>
        <v>0</v>
      </c>
      <c r="N1071" s="572"/>
      <c r="O1071" s="552">
        <f t="shared" si="99"/>
        <v>0</v>
      </c>
      <c r="P1071" s="552">
        <f t="shared" si="100"/>
        <v>0</v>
      </c>
    </row>
    <row r="1072" spans="3:16">
      <c r="C1072" s="548">
        <f>IF(D1048="","-",+C1071+1)</f>
        <v>2042</v>
      </c>
      <c r="D1072" s="506">
        <f t="shared" si="101"/>
        <v>3085576.8765972238</v>
      </c>
      <c r="E1072" s="549">
        <f t="shared" si="102"/>
        <v>167542.63583333333</v>
      </c>
      <c r="F1072" s="549">
        <f t="shared" si="95"/>
        <v>2918034.2407638906</v>
      </c>
      <c r="G1072" s="506">
        <f t="shared" si="96"/>
        <v>3001805.5586805572</v>
      </c>
      <c r="H1072" s="554">
        <f>+J1049*G1072+E1072</f>
        <v>498721.63865679945</v>
      </c>
      <c r="I1072" s="555">
        <f>+J1050*G1072+E1072</f>
        <v>498721.63865679945</v>
      </c>
      <c r="J1072" s="552">
        <f t="shared" si="97"/>
        <v>0</v>
      </c>
      <c r="K1072" s="552"/>
      <c r="L1072" s="572"/>
      <c r="M1072" s="552">
        <f t="shared" si="98"/>
        <v>0</v>
      </c>
      <c r="N1072" s="572"/>
      <c r="O1072" s="552">
        <f t="shared" si="99"/>
        <v>0</v>
      </c>
      <c r="P1072" s="552">
        <f t="shared" si="100"/>
        <v>0</v>
      </c>
    </row>
    <row r="1073" spans="3:16">
      <c r="C1073" s="548">
        <f>IF(D1048="","-",+C1072+1)</f>
        <v>2043</v>
      </c>
      <c r="D1073" s="506">
        <f t="shared" si="101"/>
        <v>2918034.2407638906</v>
      </c>
      <c r="E1073" s="549">
        <f t="shared" si="102"/>
        <v>167542.63583333333</v>
      </c>
      <c r="F1073" s="549">
        <f t="shared" si="95"/>
        <v>2750491.6049305573</v>
      </c>
      <c r="G1073" s="506">
        <f t="shared" si="96"/>
        <v>2834262.9228472239</v>
      </c>
      <c r="H1073" s="554">
        <f>+J1049*G1073+E1073</f>
        <v>480237.22919688514</v>
      </c>
      <c r="I1073" s="555">
        <f>+J1050*G1073+E1073</f>
        <v>480237.22919688514</v>
      </c>
      <c r="J1073" s="552">
        <f t="shared" si="97"/>
        <v>0</v>
      </c>
      <c r="K1073" s="552"/>
      <c r="L1073" s="572"/>
      <c r="M1073" s="552">
        <f t="shared" si="98"/>
        <v>0</v>
      </c>
      <c r="N1073" s="572"/>
      <c r="O1073" s="552">
        <f t="shared" si="99"/>
        <v>0</v>
      </c>
      <c r="P1073" s="552">
        <f t="shared" si="100"/>
        <v>0</v>
      </c>
    </row>
    <row r="1074" spans="3:16">
      <c r="C1074" s="548">
        <f>IF(D1048="","-",+C1073+1)</f>
        <v>2044</v>
      </c>
      <c r="D1074" s="506">
        <f t="shared" si="101"/>
        <v>2750491.6049305573</v>
      </c>
      <c r="E1074" s="549">
        <f t="shared" si="102"/>
        <v>167542.63583333333</v>
      </c>
      <c r="F1074" s="549">
        <f t="shared" si="95"/>
        <v>2582948.9690972241</v>
      </c>
      <c r="G1074" s="506">
        <f t="shared" si="96"/>
        <v>2666720.2870138907</v>
      </c>
      <c r="H1074" s="554">
        <f>+J1049*G1074+E1074</f>
        <v>461752.8197369707</v>
      </c>
      <c r="I1074" s="555">
        <f>+J1050*G1074+E1074</f>
        <v>461752.8197369707</v>
      </c>
      <c r="J1074" s="552">
        <f t="shared" si="97"/>
        <v>0</v>
      </c>
      <c r="K1074" s="552"/>
      <c r="L1074" s="572"/>
      <c r="M1074" s="552">
        <f t="shared" si="98"/>
        <v>0</v>
      </c>
      <c r="N1074" s="572"/>
      <c r="O1074" s="552">
        <f t="shared" si="99"/>
        <v>0</v>
      </c>
      <c r="P1074" s="552">
        <f t="shared" si="100"/>
        <v>0</v>
      </c>
    </row>
    <row r="1075" spans="3:16">
      <c r="C1075" s="548">
        <f>IF(D1048="","-",+C1074+1)</f>
        <v>2045</v>
      </c>
      <c r="D1075" s="506">
        <f t="shared" si="101"/>
        <v>2582948.9690972241</v>
      </c>
      <c r="E1075" s="549">
        <f t="shared" si="102"/>
        <v>167542.63583333333</v>
      </c>
      <c r="F1075" s="549">
        <f t="shared" si="95"/>
        <v>2415406.3332638908</v>
      </c>
      <c r="G1075" s="506">
        <f t="shared" si="96"/>
        <v>2499177.6511805574</v>
      </c>
      <c r="H1075" s="554">
        <f>+J1049*G1075+E1075</f>
        <v>443268.41027705639</v>
      </c>
      <c r="I1075" s="555">
        <f>+J1050*G1075+E1075</f>
        <v>443268.41027705639</v>
      </c>
      <c r="J1075" s="552">
        <f t="shared" si="97"/>
        <v>0</v>
      </c>
      <c r="K1075" s="552"/>
      <c r="L1075" s="572"/>
      <c r="M1075" s="552">
        <f t="shared" si="98"/>
        <v>0</v>
      </c>
      <c r="N1075" s="572"/>
      <c r="O1075" s="552">
        <f t="shared" si="99"/>
        <v>0</v>
      </c>
      <c r="P1075" s="552">
        <f t="shared" si="100"/>
        <v>0</v>
      </c>
    </row>
    <row r="1076" spans="3:16">
      <c r="C1076" s="548">
        <f>IF(D1048="","-",+C1075+1)</f>
        <v>2046</v>
      </c>
      <c r="D1076" s="506">
        <f t="shared" si="101"/>
        <v>2415406.3332638908</v>
      </c>
      <c r="E1076" s="549">
        <f t="shared" si="102"/>
        <v>167542.63583333333</v>
      </c>
      <c r="F1076" s="549">
        <f t="shared" si="95"/>
        <v>2247863.6974305576</v>
      </c>
      <c r="G1076" s="506">
        <f t="shared" si="96"/>
        <v>2331635.0153472242</v>
      </c>
      <c r="H1076" s="554">
        <f>+J1049*G1076+E1076</f>
        <v>424784.00081714196</v>
      </c>
      <c r="I1076" s="555">
        <f>+J1050*G1076+E1076</f>
        <v>424784.00081714196</v>
      </c>
      <c r="J1076" s="552">
        <f t="shared" si="97"/>
        <v>0</v>
      </c>
      <c r="K1076" s="552"/>
      <c r="L1076" s="572"/>
      <c r="M1076" s="552">
        <f t="shared" si="98"/>
        <v>0</v>
      </c>
      <c r="N1076" s="572"/>
      <c r="O1076" s="552">
        <f t="shared" si="99"/>
        <v>0</v>
      </c>
      <c r="P1076" s="552">
        <f t="shared" si="100"/>
        <v>0</v>
      </c>
    </row>
    <row r="1077" spans="3:16">
      <c r="C1077" s="548">
        <f>IF(D1048="","-",+C1076+1)</f>
        <v>2047</v>
      </c>
      <c r="D1077" s="506">
        <f t="shared" si="101"/>
        <v>2247863.6974305576</v>
      </c>
      <c r="E1077" s="549">
        <f t="shared" si="102"/>
        <v>167542.63583333333</v>
      </c>
      <c r="F1077" s="549">
        <f t="shared" si="95"/>
        <v>2080321.0615972243</v>
      </c>
      <c r="G1077" s="506">
        <f t="shared" si="96"/>
        <v>2164092.3795138909</v>
      </c>
      <c r="H1077" s="554">
        <f>+J1049*G1077+E1077</f>
        <v>406299.59135722765</v>
      </c>
      <c r="I1077" s="555">
        <f>+J1050*G1077+E1077</f>
        <v>406299.59135722765</v>
      </c>
      <c r="J1077" s="552">
        <f t="shared" si="97"/>
        <v>0</v>
      </c>
      <c r="K1077" s="552"/>
      <c r="L1077" s="572"/>
      <c r="M1077" s="552">
        <f t="shared" si="98"/>
        <v>0</v>
      </c>
      <c r="N1077" s="572"/>
      <c r="O1077" s="552">
        <f t="shared" si="99"/>
        <v>0</v>
      </c>
      <c r="P1077" s="552">
        <f t="shared" si="100"/>
        <v>0</v>
      </c>
    </row>
    <row r="1078" spans="3:16">
      <c r="C1078" s="548">
        <f>IF(D1048="","-",+C1077+1)</f>
        <v>2048</v>
      </c>
      <c r="D1078" s="506">
        <f t="shared" si="101"/>
        <v>2080321.0615972243</v>
      </c>
      <c r="E1078" s="549">
        <f t="shared" si="102"/>
        <v>167542.63583333333</v>
      </c>
      <c r="F1078" s="549">
        <f t="shared" si="95"/>
        <v>1912778.4257638911</v>
      </c>
      <c r="G1078" s="506">
        <f t="shared" si="96"/>
        <v>1996549.7436805577</v>
      </c>
      <c r="H1078" s="554">
        <f>+J1049*G1078+E1078</f>
        <v>387815.18189731322</v>
      </c>
      <c r="I1078" s="555">
        <f>+J1050*G1078+E1078</f>
        <v>387815.18189731322</v>
      </c>
      <c r="J1078" s="552">
        <f t="shared" si="97"/>
        <v>0</v>
      </c>
      <c r="K1078" s="552"/>
      <c r="L1078" s="572"/>
      <c r="M1078" s="552">
        <f t="shared" si="98"/>
        <v>0</v>
      </c>
      <c r="N1078" s="572"/>
      <c r="O1078" s="552">
        <f t="shared" si="99"/>
        <v>0</v>
      </c>
      <c r="P1078" s="552">
        <f t="shared" si="100"/>
        <v>0</v>
      </c>
    </row>
    <row r="1079" spans="3:16">
      <c r="C1079" s="548">
        <f>IF(D1048="","-",+C1078+1)</f>
        <v>2049</v>
      </c>
      <c r="D1079" s="506">
        <f t="shared" si="101"/>
        <v>1912778.4257638911</v>
      </c>
      <c r="E1079" s="549">
        <f t="shared" si="102"/>
        <v>167542.63583333333</v>
      </c>
      <c r="F1079" s="549">
        <f t="shared" si="95"/>
        <v>1745235.7899305578</v>
      </c>
      <c r="G1079" s="506">
        <f t="shared" si="96"/>
        <v>1829007.1078472245</v>
      </c>
      <c r="H1079" s="554">
        <f>+J1049*G1079+E1079</f>
        <v>369330.7724373989</v>
      </c>
      <c r="I1079" s="555">
        <f>+J1050*G1079+E1079</f>
        <v>369330.7724373989</v>
      </c>
      <c r="J1079" s="552">
        <f t="shared" si="97"/>
        <v>0</v>
      </c>
      <c r="K1079" s="552"/>
      <c r="L1079" s="572"/>
      <c r="M1079" s="552">
        <f t="shared" si="98"/>
        <v>0</v>
      </c>
      <c r="N1079" s="572"/>
      <c r="O1079" s="552">
        <f t="shared" si="99"/>
        <v>0</v>
      </c>
      <c r="P1079" s="552">
        <f t="shared" si="100"/>
        <v>0</v>
      </c>
    </row>
    <row r="1080" spans="3:16">
      <c r="C1080" s="548">
        <f>IF(D1048="","-",+C1079+1)</f>
        <v>2050</v>
      </c>
      <c r="D1080" s="506">
        <f t="shared" si="101"/>
        <v>1745235.7899305578</v>
      </c>
      <c r="E1080" s="549">
        <f t="shared" si="102"/>
        <v>167542.63583333333</v>
      </c>
      <c r="F1080" s="549">
        <f t="shared" si="95"/>
        <v>1577693.1540972246</v>
      </c>
      <c r="G1080" s="506">
        <f t="shared" si="96"/>
        <v>1661464.4720138912</v>
      </c>
      <c r="H1080" s="554">
        <f>+J1049*G1080+E1080</f>
        <v>350846.36297748447</v>
      </c>
      <c r="I1080" s="555">
        <f>+J1050*G1080+E1080</f>
        <v>350846.36297748447</v>
      </c>
      <c r="J1080" s="552">
        <f t="shared" si="97"/>
        <v>0</v>
      </c>
      <c r="K1080" s="552"/>
      <c r="L1080" s="572"/>
      <c r="M1080" s="552">
        <f t="shared" si="98"/>
        <v>0</v>
      </c>
      <c r="N1080" s="572"/>
      <c r="O1080" s="552">
        <f t="shared" si="99"/>
        <v>0</v>
      </c>
      <c r="P1080" s="552">
        <f t="shared" si="100"/>
        <v>0</v>
      </c>
    </row>
    <row r="1081" spans="3:16">
      <c r="C1081" s="548">
        <f>IF(D1048="","-",+C1080+1)</f>
        <v>2051</v>
      </c>
      <c r="D1081" s="506">
        <f t="shared" si="101"/>
        <v>1577693.1540972246</v>
      </c>
      <c r="E1081" s="549">
        <f t="shared" si="102"/>
        <v>167542.63583333333</v>
      </c>
      <c r="F1081" s="549">
        <f t="shared" si="95"/>
        <v>1410150.5182638913</v>
      </c>
      <c r="G1081" s="506">
        <f t="shared" si="96"/>
        <v>1493921.836180558</v>
      </c>
      <c r="H1081" s="554">
        <f>+J1049*G1081+E1081</f>
        <v>332361.95351757016</v>
      </c>
      <c r="I1081" s="555">
        <f>+J1050*G1081+E1081</f>
        <v>332361.95351757016</v>
      </c>
      <c r="J1081" s="552">
        <f t="shared" si="97"/>
        <v>0</v>
      </c>
      <c r="K1081" s="552"/>
      <c r="L1081" s="572"/>
      <c r="M1081" s="552">
        <f t="shared" si="98"/>
        <v>0</v>
      </c>
      <c r="N1081" s="572"/>
      <c r="O1081" s="552">
        <f t="shared" si="99"/>
        <v>0</v>
      </c>
      <c r="P1081" s="552">
        <f t="shared" si="100"/>
        <v>0</v>
      </c>
    </row>
    <row r="1082" spans="3:16">
      <c r="C1082" s="548">
        <f>IF(D1048="","-",+C1081+1)</f>
        <v>2052</v>
      </c>
      <c r="D1082" s="506">
        <f t="shared" si="101"/>
        <v>1410150.5182638913</v>
      </c>
      <c r="E1082" s="549">
        <f t="shared" si="102"/>
        <v>167542.63583333333</v>
      </c>
      <c r="F1082" s="549">
        <f t="shared" si="95"/>
        <v>1242607.8824305581</v>
      </c>
      <c r="G1082" s="506">
        <f t="shared" si="96"/>
        <v>1326379.2003472247</v>
      </c>
      <c r="H1082" s="554">
        <f>+J1049*G1082+E1082</f>
        <v>313877.54405765573</v>
      </c>
      <c r="I1082" s="555">
        <f>+J1050*G1082+E1082</f>
        <v>313877.54405765573</v>
      </c>
      <c r="J1082" s="552">
        <f t="shared" si="97"/>
        <v>0</v>
      </c>
      <c r="K1082" s="552"/>
      <c r="L1082" s="572"/>
      <c r="M1082" s="552">
        <f t="shared" si="98"/>
        <v>0</v>
      </c>
      <c r="N1082" s="572"/>
      <c r="O1082" s="552">
        <f t="shared" si="99"/>
        <v>0</v>
      </c>
      <c r="P1082" s="552">
        <f t="shared" si="100"/>
        <v>0</v>
      </c>
    </row>
    <row r="1083" spans="3:16">
      <c r="C1083" s="548">
        <f>IF(D1048="","-",+C1082+1)</f>
        <v>2053</v>
      </c>
      <c r="D1083" s="506">
        <f t="shared" si="101"/>
        <v>1242607.8824305581</v>
      </c>
      <c r="E1083" s="549">
        <f t="shared" si="102"/>
        <v>167542.63583333333</v>
      </c>
      <c r="F1083" s="549">
        <f t="shared" si="95"/>
        <v>1075065.2465972248</v>
      </c>
      <c r="G1083" s="506">
        <f t="shared" si="96"/>
        <v>1158836.5645138915</v>
      </c>
      <c r="H1083" s="554">
        <f>+J1049*G1083+E1083</f>
        <v>295393.13459774142</v>
      </c>
      <c r="I1083" s="555">
        <f>+J1050*G1083+E1083</f>
        <v>295393.13459774142</v>
      </c>
      <c r="J1083" s="552">
        <f t="shared" si="97"/>
        <v>0</v>
      </c>
      <c r="K1083" s="552"/>
      <c r="L1083" s="572"/>
      <c r="M1083" s="552">
        <f t="shared" si="98"/>
        <v>0</v>
      </c>
      <c r="N1083" s="572"/>
      <c r="O1083" s="552">
        <f t="shared" si="99"/>
        <v>0</v>
      </c>
      <c r="P1083" s="552">
        <f t="shared" si="100"/>
        <v>0</v>
      </c>
    </row>
    <row r="1084" spans="3:16">
      <c r="C1084" s="548">
        <f>IF(D1048="","-",+C1083+1)</f>
        <v>2054</v>
      </c>
      <c r="D1084" s="506">
        <f t="shared" si="101"/>
        <v>1075065.2465972248</v>
      </c>
      <c r="E1084" s="549">
        <f t="shared" si="102"/>
        <v>167542.63583333333</v>
      </c>
      <c r="F1084" s="549">
        <f t="shared" si="95"/>
        <v>907522.61076389148</v>
      </c>
      <c r="G1084" s="506">
        <f t="shared" si="96"/>
        <v>991293.92868055822</v>
      </c>
      <c r="H1084" s="554">
        <f>+J1049*G1084+E1084</f>
        <v>276908.72513782704</v>
      </c>
      <c r="I1084" s="555">
        <f>+J1050*G1084+E1084</f>
        <v>276908.72513782704</v>
      </c>
      <c r="J1084" s="552">
        <f t="shared" si="97"/>
        <v>0</v>
      </c>
      <c r="K1084" s="552"/>
      <c r="L1084" s="572"/>
      <c r="M1084" s="552">
        <f t="shared" si="98"/>
        <v>0</v>
      </c>
      <c r="N1084" s="572"/>
      <c r="O1084" s="552">
        <f t="shared" si="99"/>
        <v>0</v>
      </c>
      <c r="P1084" s="552">
        <f t="shared" si="100"/>
        <v>0</v>
      </c>
    </row>
    <row r="1085" spans="3:16">
      <c r="C1085" s="548">
        <f>IF(D1048="","-",+C1084+1)</f>
        <v>2055</v>
      </c>
      <c r="D1085" s="506">
        <f t="shared" si="101"/>
        <v>907522.61076389148</v>
      </c>
      <c r="E1085" s="549">
        <f t="shared" si="102"/>
        <v>167542.63583333333</v>
      </c>
      <c r="F1085" s="549">
        <f t="shared" si="95"/>
        <v>739979.97493055812</v>
      </c>
      <c r="G1085" s="506">
        <f t="shared" si="96"/>
        <v>823751.29284722474</v>
      </c>
      <c r="H1085" s="554">
        <f>+J1049*G1085+E1085</f>
        <v>258424.31567791264</v>
      </c>
      <c r="I1085" s="555">
        <f>+J1050*G1085+E1085</f>
        <v>258424.31567791264</v>
      </c>
      <c r="J1085" s="552">
        <f t="shared" si="97"/>
        <v>0</v>
      </c>
      <c r="K1085" s="552"/>
      <c r="L1085" s="572"/>
      <c r="M1085" s="552">
        <f t="shared" si="98"/>
        <v>0</v>
      </c>
      <c r="N1085" s="572"/>
      <c r="O1085" s="552">
        <f t="shared" si="99"/>
        <v>0</v>
      </c>
      <c r="P1085" s="552">
        <f t="shared" si="100"/>
        <v>0</v>
      </c>
    </row>
    <row r="1086" spans="3:16">
      <c r="C1086" s="548">
        <f>IF(D1048="","-",+C1085+1)</f>
        <v>2056</v>
      </c>
      <c r="D1086" s="506">
        <f t="shared" si="101"/>
        <v>739979.97493055812</v>
      </c>
      <c r="E1086" s="549">
        <f t="shared" si="102"/>
        <v>167542.63583333333</v>
      </c>
      <c r="F1086" s="549">
        <f t="shared" si="95"/>
        <v>572437.33909722476</v>
      </c>
      <c r="G1086" s="506">
        <f t="shared" si="96"/>
        <v>656208.6570138915</v>
      </c>
      <c r="H1086" s="554">
        <f>+J1049*G1086+E1086</f>
        <v>239939.90621799827</v>
      </c>
      <c r="I1086" s="555">
        <f>+J1050*G1086+E1086</f>
        <v>239939.90621799827</v>
      </c>
      <c r="J1086" s="552">
        <f t="shared" si="97"/>
        <v>0</v>
      </c>
      <c r="K1086" s="552"/>
      <c r="L1086" s="572"/>
      <c r="M1086" s="552">
        <f t="shared" si="98"/>
        <v>0</v>
      </c>
      <c r="N1086" s="572"/>
      <c r="O1086" s="552">
        <f t="shared" si="99"/>
        <v>0</v>
      </c>
      <c r="P1086" s="552">
        <f t="shared" si="100"/>
        <v>0</v>
      </c>
    </row>
    <row r="1087" spans="3:16">
      <c r="C1087" s="548">
        <f>IF(D1048="","-",+C1086+1)</f>
        <v>2057</v>
      </c>
      <c r="D1087" s="506">
        <f t="shared" si="101"/>
        <v>572437.33909722476</v>
      </c>
      <c r="E1087" s="549">
        <f t="shared" si="102"/>
        <v>167542.63583333333</v>
      </c>
      <c r="F1087" s="549">
        <f t="shared" si="95"/>
        <v>404894.7032638914</v>
      </c>
      <c r="G1087" s="506">
        <f t="shared" si="96"/>
        <v>488666.02118055808</v>
      </c>
      <c r="H1087" s="554">
        <f>+J1049*G1087+E1087</f>
        <v>221455.49675808387</v>
      </c>
      <c r="I1087" s="555">
        <f>+J1050*G1087+E1087</f>
        <v>221455.49675808387</v>
      </c>
      <c r="J1087" s="552">
        <f t="shared" si="97"/>
        <v>0</v>
      </c>
      <c r="K1087" s="552"/>
      <c r="L1087" s="572"/>
      <c r="M1087" s="552">
        <f t="shared" si="98"/>
        <v>0</v>
      </c>
      <c r="N1087" s="572"/>
      <c r="O1087" s="552">
        <f t="shared" si="99"/>
        <v>0</v>
      </c>
      <c r="P1087" s="552">
        <f t="shared" si="100"/>
        <v>0</v>
      </c>
    </row>
    <row r="1088" spans="3:16">
      <c r="C1088" s="548">
        <f>IF(D1048="","-",+C1087+1)</f>
        <v>2058</v>
      </c>
      <c r="D1088" s="506">
        <f t="shared" si="101"/>
        <v>404894.7032638914</v>
      </c>
      <c r="E1088" s="549">
        <f t="shared" si="102"/>
        <v>167542.63583333333</v>
      </c>
      <c r="F1088" s="549">
        <f t="shared" si="95"/>
        <v>237352.06743055806</v>
      </c>
      <c r="G1088" s="506">
        <f t="shared" si="96"/>
        <v>321123.38534722471</v>
      </c>
      <c r="H1088" s="554">
        <f>+J1049*G1088+E1088</f>
        <v>202971.0872981695</v>
      </c>
      <c r="I1088" s="555">
        <f>+J1050*G1088+E1088</f>
        <v>202971.0872981695</v>
      </c>
      <c r="J1088" s="552">
        <f t="shared" si="97"/>
        <v>0</v>
      </c>
      <c r="K1088" s="552"/>
      <c r="L1088" s="572"/>
      <c r="M1088" s="552">
        <f t="shared" si="98"/>
        <v>0</v>
      </c>
      <c r="N1088" s="572"/>
      <c r="O1088" s="552">
        <f t="shared" si="99"/>
        <v>0</v>
      </c>
      <c r="P1088" s="552">
        <f t="shared" si="100"/>
        <v>0</v>
      </c>
    </row>
    <row r="1089" spans="3:16">
      <c r="C1089" s="548">
        <f>IF(D1048="","-",+C1088+1)</f>
        <v>2059</v>
      </c>
      <c r="D1089" s="506">
        <f t="shared" si="101"/>
        <v>237352.06743055806</v>
      </c>
      <c r="E1089" s="549">
        <f t="shared" si="102"/>
        <v>167542.63583333333</v>
      </c>
      <c r="F1089" s="549">
        <f t="shared" si="95"/>
        <v>69809.431597224728</v>
      </c>
      <c r="G1089" s="506">
        <f t="shared" si="96"/>
        <v>153580.74951389141</v>
      </c>
      <c r="H1089" s="554">
        <f>+J1049*G1089+E1089</f>
        <v>184486.67783825513</v>
      </c>
      <c r="I1089" s="555">
        <f>+J1050*G1089+E1089</f>
        <v>184486.67783825513</v>
      </c>
      <c r="J1089" s="552">
        <f t="shared" si="97"/>
        <v>0</v>
      </c>
      <c r="K1089" s="552"/>
      <c r="L1089" s="572"/>
      <c r="M1089" s="552">
        <f t="shared" si="98"/>
        <v>0</v>
      </c>
      <c r="N1089" s="572"/>
      <c r="O1089" s="552">
        <f t="shared" si="99"/>
        <v>0</v>
      </c>
      <c r="P1089" s="552">
        <f t="shared" si="100"/>
        <v>0</v>
      </c>
    </row>
    <row r="1090" spans="3:16">
      <c r="C1090" s="548">
        <f>IF(D1048="","-",+C1089+1)</f>
        <v>2060</v>
      </c>
      <c r="D1090" s="506">
        <f t="shared" si="101"/>
        <v>69809.431597224728</v>
      </c>
      <c r="E1090" s="549">
        <f t="shared" si="102"/>
        <v>69809.431597224728</v>
      </c>
      <c r="F1090" s="549">
        <f t="shared" si="95"/>
        <v>0</v>
      </c>
      <c r="G1090" s="506">
        <f t="shared" si="96"/>
        <v>34904.715798612364</v>
      </c>
      <c r="H1090" s="554">
        <f>+J1049*G1090+E1090</f>
        <v>73660.350234707032</v>
      </c>
      <c r="I1090" s="555">
        <f>+J1050*G1090+E1090</f>
        <v>73660.350234707032</v>
      </c>
      <c r="J1090" s="552">
        <f t="shared" si="97"/>
        <v>0</v>
      </c>
      <c r="K1090" s="552"/>
      <c r="L1090" s="572"/>
      <c r="M1090" s="552">
        <f t="shared" si="98"/>
        <v>0</v>
      </c>
      <c r="N1090" s="572"/>
      <c r="O1090" s="552">
        <f t="shared" si="99"/>
        <v>0</v>
      </c>
      <c r="P1090" s="552">
        <f t="shared" si="100"/>
        <v>0</v>
      </c>
    </row>
    <row r="1091" spans="3:16">
      <c r="C1091" s="548">
        <f>IF(D1048="","-",+C1090+1)</f>
        <v>2061</v>
      </c>
      <c r="D1091" s="506">
        <f t="shared" si="101"/>
        <v>0</v>
      </c>
      <c r="E1091" s="549">
        <f t="shared" si="102"/>
        <v>0</v>
      </c>
      <c r="F1091" s="549">
        <f t="shared" si="95"/>
        <v>0</v>
      </c>
      <c r="G1091" s="506">
        <f t="shared" si="96"/>
        <v>0</v>
      </c>
      <c r="H1091" s="554">
        <f>+J1049*G1091+E1091</f>
        <v>0</v>
      </c>
      <c r="I1091" s="555">
        <f>+J1050*G1091+E1091</f>
        <v>0</v>
      </c>
      <c r="J1091" s="552">
        <f t="shared" si="97"/>
        <v>0</v>
      </c>
      <c r="K1091" s="552"/>
      <c r="L1091" s="572"/>
      <c r="M1091" s="552">
        <f t="shared" si="98"/>
        <v>0</v>
      </c>
      <c r="N1091" s="572"/>
      <c r="O1091" s="552">
        <f t="shared" si="99"/>
        <v>0</v>
      </c>
      <c r="P1091" s="552">
        <f t="shared" si="100"/>
        <v>0</v>
      </c>
    </row>
    <row r="1092" spans="3:16">
      <c r="C1092" s="548">
        <f>IF(D1048="","-",+C1091+1)</f>
        <v>2062</v>
      </c>
      <c r="D1092" s="506">
        <f t="shared" si="101"/>
        <v>0</v>
      </c>
      <c r="E1092" s="549">
        <f t="shared" si="102"/>
        <v>0</v>
      </c>
      <c r="F1092" s="549">
        <f t="shared" si="95"/>
        <v>0</v>
      </c>
      <c r="G1092" s="506">
        <f t="shared" si="96"/>
        <v>0</v>
      </c>
      <c r="H1092" s="554">
        <f>+J1049*G1092+E1092</f>
        <v>0</v>
      </c>
      <c r="I1092" s="555">
        <f>+J1050*G1092+E1092</f>
        <v>0</v>
      </c>
      <c r="J1092" s="552">
        <f t="shared" si="97"/>
        <v>0</v>
      </c>
      <c r="K1092" s="552"/>
      <c r="L1092" s="572"/>
      <c r="M1092" s="552">
        <f t="shared" si="98"/>
        <v>0</v>
      </c>
      <c r="N1092" s="572"/>
      <c r="O1092" s="552">
        <f t="shared" si="99"/>
        <v>0</v>
      </c>
      <c r="P1092" s="552">
        <f t="shared" si="100"/>
        <v>0</v>
      </c>
    </row>
    <row r="1093" spans="3:16">
      <c r="C1093" s="548">
        <f>IF(D1048="","-",+C1092+1)</f>
        <v>2063</v>
      </c>
      <c r="D1093" s="506">
        <f t="shared" si="101"/>
        <v>0</v>
      </c>
      <c r="E1093" s="549">
        <f t="shared" si="102"/>
        <v>0</v>
      </c>
      <c r="F1093" s="549">
        <f t="shared" si="95"/>
        <v>0</v>
      </c>
      <c r="G1093" s="506">
        <f t="shared" si="96"/>
        <v>0</v>
      </c>
      <c r="H1093" s="554">
        <f>+J1049*G1093+E1093</f>
        <v>0</v>
      </c>
      <c r="I1093" s="555">
        <f>+J1050*G1093+E1093</f>
        <v>0</v>
      </c>
      <c r="J1093" s="552">
        <f t="shared" si="97"/>
        <v>0</v>
      </c>
      <c r="K1093" s="552"/>
      <c r="L1093" s="572"/>
      <c r="M1093" s="552">
        <f t="shared" si="98"/>
        <v>0</v>
      </c>
      <c r="N1093" s="572"/>
      <c r="O1093" s="552">
        <f t="shared" si="99"/>
        <v>0</v>
      </c>
      <c r="P1093" s="552">
        <f t="shared" si="100"/>
        <v>0</v>
      </c>
    </row>
    <row r="1094" spans="3:16">
      <c r="C1094" s="548">
        <f>IF(D1048="","-",+C1093+1)</f>
        <v>2064</v>
      </c>
      <c r="D1094" s="506">
        <f t="shared" si="101"/>
        <v>0</v>
      </c>
      <c r="E1094" s="549">
        <f t="shared" si="102"/>
        <v>0</v>
      </c>
      <c r="F1094" s="549">
        <f t="shared" si="95"/>
        <v>0</v>
      </c>
      <c r="G1094" s="506">
        <f t="shared" si="96"/>
        <v>0</v>
      </c>
      <c r="H1094" s="554">
        <f>+J1049*G1094+E1094</f>
        <v>0</v>
      </c>
      <c r="I1094" s="555">
        <f>+J1050*G1094+E1094</f>
        <v>0</v>
      </c>
      <c r="J1094" s="552">
        <f t="shared" si="97"/>
        <v>0</v>
      </c>
      <c r="K1094" s="552"/>
      <c r="L1094" s="572"/>
      <c r="M1094" s="552">
        <f t="shared" si="98"/>
        <v>0</v>
      </c>
      <c r="N1094" s="572"/>
      <c r="O1094" s="552">
        <f t="shared" si="99"/>
        <v>0</v>
      </c>
      <c r="P1094" s="552">
        <f t="shared" si="100"/>
        <v>0</v>
      </c>
    </row>
    <row r="1095" spans="3:16">
      <c r="C1095" s="548">
        <f>IF(D1048="","-",+C1094+1)</f>
        <v>2065</v>
      </c>
      <c r="D1095" s="506">
        <f t="shared" si="101"/>
        <v>0</v>
      </c>
      <c r="E1095" s="549">
        <f t="shared" si="102"/>
        <v>0</v>
      </c>
      <c r="F1095" s="549">
        <f t="shared" si="95"/>
        <v>0</v>
      </c>
      <c r="G1095" s="506">
        <f t="shared" si="96"/>
        <v>0</v>
      </c>
      <c r="H1095" s="554">
        <f>+J1049*G1095+E1095</f>
        <v>0</v>
      </c>
      <c r="I1095" s="555">
        <f>+J1050*G1095+E1095</f>
        <v>0</v>
      </c>
      <c r="J1095" s="552">
        <f t="shared" si="97"/>
        <v>0</v>
      </c>
      <c r="K1095" s="552"/>
      <c r="L1095" s="572"/>
      <c r="M1095" s="552">
        <f t="shared" si="98"/>
        <v>0</v>
      </c>
      <c r="N1095" s="572"/>
      <c r="O1095" s="552">
        <f t="shared" si="99"/>
        <v>0</v>
      </c>
      <c r="P1095" s="552">
        <f t="shared" si="100"/>
        <v>0</v>
      </c>
    </row>
    <row r="1096" spans="3:16">
      <c r="C1096" s="548">
        <f>IF(D1048="","-",+C1095+1)</f>
        <v>2066</v>
      </c>
      <c r="D1096" s="506">
        <f t="shared" si="101"/>
        <v>0</v>
      </c>
      <c r="E1096" s="549">
        <f t="shared" si="102"/>
        <v>0</v>
      </c>
      <c r="F1096" s="549">
        <f t="shared" si="95"/>
        <v>0</v>
      </c>
      <c r="G1096" s="506">
        <f t="shared" si="96"/>
        <v>0</v>
      </c>
      <c r="H1096" s="554">
        <f>+J1049*G1096+E1096</f>
        <v>0</v>
      </c>
      <c r="I1096" s="555">
        <f>+J1050*G1096+E1096</f>
        <v>0</v>
      </c>
      <c r="J1096" s="552">
        <f t="shared" si="97"/>
        <v>0</v>
      </c>
      <c r="K1096" s="552"/>
      <c r="L1096" s="572"/>
      <c r="M1096" s="552">
        <f t="shared" si="98"/>
        <v>0</v>
      </c>
      <c r="N1096" s="572"/>
      <c r="O1096" s="552">
        <f t="shared" si="99"/>
        <v>0</v>
      </c>
      <c r="P1096" s="552">
        <f t="shared" si="100"/>
        <v>0</v>
      </c>
    </row>
    <row r="1097" spans="3:16">
      <c r="C1097" s="548">
        <f>IF(D1048="","-",+C1096+1)</f>
        <v>2067</v>
      </c>
      <c r="D1097" s="506">
        <f t="shared" si="101"/>
        <v>0</v>
      </c>
      <c r="E1097" s="549">
        <f>IF(D1097&gt;$J$1051,$J$1051,D1097)</f>
        <v>0</v>
      </c>
      <c r="F1097" s="549">
        <f t="shared" si="95"/>
        <v>0</v>
      </c>
      <c r="G1097" s="506">
        <f t="shared" si="96"/>
        <v>0</v>
      </c>
      <c r="H1097" s="554">
        <f>+J1049*G1097+E1097</f>
        <v>0</v>
      </c>
      <c r="I1097" s="555">
        <f>+J1050*G1097+E1097</f>
        <v>0</v>
      </c>
      <c r="J1097" s="552">
        <f t="shared" si="97"/>
        <v>0</v>
      </c>
      <c r="K1097" s="552"/>
      <c r="L1097" s="572"/>
      <c r="M1097" s="552">
        <f t="shared" si="98"/>
        <v>0</v>
      </c>
      <c r="N1097" s="572"/>
      <c r="O1097" s="552">
        <f t="shared" si="99"/>
        <v>0</v>
      </c>
      <c r="P1097" s="552">
        <f t="shared" si="100"/>
        <v>0</v>
      </c>
    </row>
    <row r="1098" spans="3:16">
      <c r="C1098" s="548">
        <f>IF(D1048="","-",+C1097+1)</f>
        <v>2068</v>
      </c>
      <c r="D1098" s="506">
        <f t="shared" si="101"/>
        <v>0</v>
      </c>
      <c r="E1098" s="549">
        <f t="shared" si="102"/>
        <v>0</v>
      </c>
      <c r="F1098" s="549">
        <f t="shared" si="95"/>
        <v>0</v>
      </c>
      <c r="G1098" s="506">
        <f t="shared" si="96"/>
        <v>0</v>
      </c>
      <c r="H1098" s="554">
        <f>+J1049*G1098+E1098</f>
        <v>0</v>
      </c>
      <c r="I1098" s="555">
        <f>+J1050*G1098+E1098</f>
        <v>0</v>
      </c>
      <c r="J1098" s="552">
        <f t="shared" si="97"/>
        <v>0</v>
      </c>
      <c r="K1098" s="552"/>
      <c r="L1098" s="572"/>
      <c r="M1098" s="552">
        <f t="shared" si="98"/>
        <v>0</v>
      </c>
      <c r="N1098" s="572"/>
      <c r="O1098" s="552">
        <f t="shared" si="99"/>
        <v>0</v>
      </c>
      <c r="P1098" s="552">
        <f t="shared" si="100"/>
        <v>0</v>
      </c>
    </row>
    <row r="1099" spans="3:16">
      <c r="C1099" s="548">
        <f>IF(D1048="","-",+C1098+1)</f>
        <v>2069</v>
      </c>
      <c r="D1099" s="506">
        <f t="shared" si="101"/>
        <v>0</v>
      </c>
      <c r="E1099" s="549">
        <f t="shared" si="102"/>
        <v>0</v>
      </c>
      <c r="F1099" s="549">
        <f t="shared" si="95"/>
        <v>0</v>
      </c>
      <c r="G1099" s="506">
        <f t="shared" si="96"/>
        <v>0</v>
      </c>
      <c r="H1099" s="554">
        <f>+J1049*G1099+E1099</f>
        <v>0</v>
      </c>
      <c r="I1099" s="555">
        <f>+J1050*G1099+E1099</f>
        <v>0</v>
      </c>
      <c r="J1099" s="552">
        <f t="shared" si="97"/>
        <v>0</v>
      </c>
      <c r="K1099" s="552"/>
      <c r="L1099" s="572"/>
      <c r="M1099" s="552">
        <f t="shared" si="98"/>
        <v>0</v>
      </c>
      <c r="N1099" s="572"/>
      <c r="O1099" s="552">
        <f t="shared" si="99"/>
        <v>0</v>
      </c>
      <c r="P1099" s="552">
        <f t="shared" si="100"/>
        <v>0</v>
      </c>
    </row>
    <row r="1100" spans="3:16">
      <c r="C1100" s="548">
        <f>IF(D1048="","-",+C1099+1)</f>
        <v>2070</v>
      </c>
      <c r="D1100" s="506">
        <f t="shared" si="101"/>
        <v>0</v>
      </c>
      <c r="E1100" s="549">
        <f t="shared" si="102"/>
        <v>0</v>
      </c>
      <c r="F1100" s="549">
        <f t="shared" si="95"/>
        <v>0</v>
      </c>
      <c r="G1100" s="506">
        <f t="shared" si="96"/>
        <v>0</v>
      </c>
      <c r="H1100" s="554">
        <f>+J1049*G1100+E1100</f>
        <v>0</v>
      </c>
      <c r="I1100" s="555">
        <f>+J1050*G1100+E1100</f>
        <v>0</v>
      </c>
      <c r="J1100" s="552">
        <f t="shared" si="97"/>
        <v>0</v>
      </c>
      <c r="K1100" s="552"/>
      <c r="L1100" s="572"/>
      <c r="M1100" s="552">
        <f t="shared" si="98"/>
        <v>0</v>
      </c>
      <c r="N1100" s="572"/>
      <c r="O1100" s="552">
        <f t="shared" si="99"/>
        <v>0</v>
      </c>
      <c r="P1100" s="552">
        <f t="shared" si="100"/>
        <v>0</v>
      </c>
    </row>
    <row r="1101" spans="3:16">
      <c r="C1101" s="548">
        <f>IF(D1048="","-",+C1100+1)</f>
        <v>2071</v>
      </c>
      <c r="D1101" s="506">
        <f t="shared" si="101"/>
        <v>0</v>
      </c>
      <c r="E1101" s="549">
        <f t="shared" si="102"/>
        <v>0</v>
      </c>
      <c r="F1101" s="549">
        <f t="shared" si="95"/>
        <v>0</v>
      </c>
      <c r="G1101" s="506">
        <f t="shared" si="96"/>
        <v>0</v>
      </c>
      <c r="H1101" s="554">
        <f>+J1049*G1101+E1101</f>
        <v>0</v>
      </c>
      <c r="I1101" s="555">
        <f>+J1050*G1101+E1101</f>
        <v>0</v>
      </c>
      <c r="J1101" s="552">
        <f t="shared" si="97"/>
        <v>0</v>
      </c>
      <c r="K1101" s="552"/>
      <c r="L1101" s="572"/>
      <c r="M1101" s="552">
        <f t="shared" si="98"/>
        <v>0</v>
      </c>
      <c r="N1101" s="572"/>
      <c r="O1101" s="552">
        <f t="shared" si="99"/>
        <v>0</v>
      </c>
      <c r="P1101" s="552">
        <f t="shared" si="100"/>
        <v>0</v>
      </c>
    </row>
    <row r="1102" spans="3:16">
      <c r="C1102" s="548">
        <f>IF(D1048="","-",+C1101+1)</f>
        <v>2072</v>
      </c>
      <c r="D1102" s="506">
        <f t="shared" si="101"/>
        <v>0</v>
      </c>
      <c r="E1102" s="549">
        <f t="shared" si="102"/>
        <v>0</v>
      </c>
      <c r="F1102" s="549">
        <f t="shared" si="95"/>
        <v>0</v>
      </c>
      <c r="G1102" s="506">
        <f t="shared" si="96"/>
        <v>0</v>
      </c>
      <c r="H1102" s="554">
        <f>+J1049*G1102+E1102</f>
        <v>0</v>
      </c>
      <c r="I1102" s="555">
        <f>+J1050*G1102+E1102</f>
        <v>0</v>
      </c>
      <c r="J1102" s="552">
        <f t="shared" si="97"/>
        <v>0</v>
      </c>
      <c r="K1102" s="552"/>
      <c r="L1102" s="572"/>
      <c r="M1102" s="552">
        <f t="shared" si="98"/>
        <v>0</v>
      </c>
      <c r="N1102" s="572"/>
      <c r="O1102" s="552">
        <f t="shared" si="99"/>
        <v>0</v>
      </c>
      <c r="P1102" s="552">
        <f t="shared" si="100"/>
        <v>0</v>
      </c>
    </row>
    <row r="1103" spans="3:16">
      <c r="C1103" s="548">
        <f>IF(D1048="","-",+C1102+1)</f>
        <v>2073</v>
      </c>
      <c r="D1103" s="506">
        <f t="shared" si="101"/>
        <v>0</v>
      </c>
      <c r="E1103" s="549">
        <f t="shared" si="102"/>
        <v>0</v>
      </c>
      <c r="F1103" s="549">
        <f t="shared" si="95"/>
        <v>0</v>
      </c>
      <c r="G1103" s="506">
        <f t="shared" si="96"/>
        <v>0</v>
      </c>
      <c r="H1103" s="554">
        <f>+J1049*G1103+E1103</f>
        <v>0</v>
      </c>
      <c r="I1103" s="555">
        <f>+J1050*G1103+E1103</f>
        <v>0</v>
      </c>
      <c r="J1103" s="552">
        <f t="shared" si="97"/>
        <v>0</v>
      </c>
      <c r="K1103" s="552"/>
      <c r="L1103" s="572"/>
      <c r="M1103" s="552">
        <f t="shared" si="98"/>
        <v>0</v>
      </c>
      <c r="N1103" s="572"/>
      <c r="O1103" s="552">
        <f t="shared" si="99"/>
        <v>0</v>
      </c>
      <c r="P1103" s="552">
        <f t="shared" si="100"/>
        <v>0</v>
      </c>
    </row>
    <row r="1104" spans="3:16">
      <c r="C1104" s="548">
        <f>IF(D1048="","-",+C1103+1)</f>
        <v>2074</v>
      </c>
      <c r="D1104" s="506">
        <f t="shared" si="101"/>
        <v>0</v>
      </c>
      <c r="E1104" s="549">
        <f t="shared" si="102"/>
        <v>0</v>
      </c>
      <c r="F1104" s="549">
        <f t="shared" si="95"/>
        <v>0</v>
      </c>
      <c r="G1104" s="506">
        <f t="shared" si="96"/>
        <v>0</v>
      </c>
      <c r="H1104" s="554">
        <f>+J1049*G1104+E1104</f>
        <v>0</v>
      </c>
      <c r="I1104" s="555">
        <f>+J1050*G1104+E1104</f>
        <v>0</v>
      </c>
      <c r="J1104" s="552">
        <f t="shared" si="97"/>
        <v>0</v>
      </c>
      <c r="K1104" s="552"/>
      <c r="L1104" s="572"/>
      <c r="M1104" s="552">
        <f t="shared" si="98"/>
        <v>0</v>
      </c>
      <c r="N1104" s="572"/>
      <c r="O1104" s="552">
        <f t="shared" si="99"/>
        <v>0</v>
      </c>
      <c r="P1104" s="552">
        <f t="shared" si="100"/>
        <v>0</v>
      </c>
    </row>
    <row r="1105" spans="3:16">
      <c r="C1105" s="548">
        <f>IF(D1048="","-",+C1104+1)</f>
        <v>2075</v>
      </c>
      <c r="D1105" s="506">
        <f t="shared" si="101"/>
        <v>0</v>
      </c>
      <c r="E1105" s="549">
        <f t="shared" si="102"/>
        <v>0</v>
      </c>
      <c r="F1105" s="549">
        <f t="shared" si="95"/>
        <v>0</v>
      </c>
      <c r="G1105" s="506">
        <f t="shared" si="96"/>
        <v>0</v>
      </c>
      <c r="H1105" s="554">
        <f>+J1049*G1105+E1105</f>
        <v>0</v>
      </c>
      <c r="I1105" s="555">
        <f>+J1050*G1105+E1105</f>
        <v>0</v>
      </c>
      <c r="J1105" s="552">
        <f t="shared" si="97"/>
        <v>0</v>
      </c>
      <c r="K1105" s="552"/>
      <c r="L1105" s="572"/>
      <c r="M1105" s="552">
        <f t="shared" si="98"/>
        <v>0</v>
      </c>
      <c r="N1105" s="572"/>
      <c r="O1105" s="552">
        <f t="shared" si="99"/>
        <v>0</v>
      </c>
      <c r="P1105" s="552">
        <f t="shared" si="100"/>
        <v>0</v>
      </c>
    </row>
    <row r="1106" spans="3:16">
      <c r="C1106" s="548">
        <f>IF(D1048="","-",+C1105+1)</f>
        <v>2076</v>
      </c>
      <c r="D1106" s="506">
        <f t="shared" si="101"/>
        <v>0</v>
      </c>
      <c r="E1106" s="549">
        <f t="shared" si="102"/>
        <v>0</v>
      </c>
      <c r="F1106" s="549">
        <f t="shared" si="95"/>
        <v>0</v>
      </c>
      <c r="G1106" s="506">
        <f t="shared" si="96"/>
        <v>0</v>
      </c>
      <c r="H1106" s="554">
        <f>+J1049*G1106+E1106</f>
        <v>0</v>
      </c>
      <c r="I1106" s="555">
        <f>+J1050*G1106+E1106</f>
        <v>0</v>
      </c>
      <c r="J1106" s="552">
        <f t="shared" si="97"/>
        <v>0</v>
      </c>
      <c r="K1106" s="552"/>
      <c r="L1106" s="572"/>
      <c r="M1106" s="552">
        <f t="shared" si="98"/>
        <v>0</v>
      </c>
      <c r="N1106" s="572"/>
      <c r="O1106" s="552">
        <f t="shared" si="99"/>
        <v>0</v>
      </c>
      <c r="P1106" s="552">
        <f t="shared" si="100"/>
        <v>0</v>
      </c>
    </row>
    <row r="1107" spans="3:16">
      <c r="C1107" s="548">
        <f>IF(D1048="","-",+C1106+1)</f>
        <v>2077</v>
      </c>
      <c r="D1107" s="506">
        <f t="shared" si="101"/>
        <v>0</v>
      </c>
      <c r="E1107" s="549">
        <f t="shared" si="102"/>
        <v>0</v>
      </c>
      <c r="F1107" s="549">
        <f t="shared" si="95"/>
        <v>0</v>
      </c>
      <c r="G1107" s="506">
        <f t="shared" si="96"/>
        <v>0</v>
      </c>
      <c r="H1107" s="554">
        <f>+J1049*G1107+E1107</f>
        <v>0</v>
      </c>
      <c r="I1107" s="555">
        <f>+J1050*G1107+E1107</f>
        <v>0</v>
      </c>
      <c r="J1107" s="552">
        <f t="shared" si="97"/>
        <v>0</v>
      </c>
      <c r="K1107" s="552"/>
      <c r="L1107" s="572"/>
      <c r="M1107" s="552">
        <f t="shared" si="98"/>
        <v>0</v>
      </c>
      <c r="N1107" s="572"/>
      <c r="O1107" s="552">
        <f t="shared" si="99"/>
        <v>0</v>
      </c>
      <c r="P1107" s="552">
        <f t="shared" si="100"/>
        <v>0</v>
      </c>
    </row>
    <row r="1108" spans="3:16">
      <c r="C1108" s="548">
        <f>IF(D1048="","-",+C1107+1)</f>
        <v>2078</v>
      </c>
      <c r="D1108" s="506">
        <f t="shared" si="101"/>
        <v>0</v>
      </c>
      <c r="E1108" s="549">
        <f t="shared" si="102"/>
        <v>0</v>
      </c>
      <c r="F1108" s="549">
        <f t="shared" si="95"/>
        <v>0</v>
      </c>
      <c r="G1108" s="506">
        <f t="shared" si="96"/>
        <v>0</v>
      </c>
      <c r="H1108" s="554">
        <f>+J1049*G1108+E1108</f>
        <v>0</v>
      </c>
      <c r="I1108" s="555">
        <f>+J1050*G1108+E1108</f>
        <v>0</v>
      </c>
      <c r="J1108" s="552">
        <f t="shared" si="97"/>
        <v>0</v>
      </c>
      <c r="K1108" s="552"/>
      <c r="L1108" s="572"/>
      <c r="M1108" s="552">
        <f t="shared" si="98"/>
        <v>0</v>
      </c>
      <c r="N1108" s="572"/>
      <c r="O1108" s="552">
        <f t="shared" si="99"/>
        <v>0</v>
      </c>
      <c r="P1108" s="552">
        <f t="shared" si="100"/>
        <v>0</v>
      </c>
    </row>
    <row r="1109" spans="3:16">
      <c r="C1109" s="548">
        <f>IF(D1048="","-",+C1108+1)</f>
        <v>2079</v>
      </c>
      <c r="D1109" s="506">
        <f t="shared" si="101"/>
        <v>0</v>
      </c>
      <c r="E1109" s="549">
        <f t="shared" si="102"/>
        <v>0</v>
      </c>
      <c r="F1109" s="549">
        <f t="shared" si="95"/>
        <v>0</v>
      </c>
      <c r="G1109" s="506">
        <f t="shared" si="96"/>
        <v>0</v>
      </c>
      <c r="H1109" s="554">
        <f>+J1049*G1109+E1109</f>
        <v>0</v>
      </c>
      <c r="I1109" s="555">
        <f>+J1050*G1109+E1109</f>
        <v>0</v>
      </c>
      <c r="J1109" s="552">
        <f t="shared" si="97"/>
        <v>0</v>
      </c>
      <c r="K1109" s="552"/>
      <c r="L1109" s="572"/>
      <c r="M1109" s="552">
        <f t="shared" si="98"/>
        <v>0</v>
      </c>
      <c r="N1109" s="572"/>
      <c r="O1109" s="552">
        <f t="shared" si="99"/>
        <v>0</v>
      </c>
      <c r="P1109" s="552">
        <f t="shared" si="100"/>
        <v>0</v>
      </c>
    </row>
    <row r="1110" spans="3:16">
      <c r="C1110" s="548">
        <f>IF(D1048="","-",+C1109+1)</f>
        <v>2080</v>
      </c>
      <c r="D1110" s="506">
        <f t="shared" si="101"/>
        <v>0</v>
      </c>
      <c r="E1110" s="549">
        <f t="shared" si="102"/>
        <v>0</v>
      </c>
      <c r="F1110" s="549">
        <f t="shared" si="95"/>
        <v>0</v>
      </c>
      <c r="G1110" s="506">
        <f t="shared" si="96"/>
        <v>0</v>
      </c>
      <c r="H1110" s="554">
        <f>+J1049*G1110+E1110</f>
        <v>0</v>
      </c>
      <c r="I1110" s="555">
        <f>+J1050*G1110+E1110</f>
        <v>0</v>
      </c>
      <c r="J1110" s="552">
        <f t="shared" si="97"/>
        <v>0</v>
      </c>
      <c r="K1110" s="552"/>
      <c r="L1110" s="572"/>
      <c r="M1110" s="552">
        <f t="shared" si="98"/>
        <v>0</v>
      </c>
      <c r="N1110" s="572"/>
      <c r="O1110" s="552">
        <f t="shared" si="99"/>
        <v>0</v>
      </c>
      <c r="P1110" s="552">
        <f t="shared" si="100"/>
        <v>0</v>
      </c>
    </row>
    <row r="1111" spans="3:16">
      <c r="C1111" s="548">
        <f>IF(D1048="","-",+C1110+1)</f>
        <v>2081</v>
      </c>
      <c r="D1111" s="506">
        <f t="shared" si="101"/>
        <v>0</v>
      </c>
      <c r="E1111" s="549">
        <f t="shared" si="102"/>
        <v>0</v>
      </c>
      <c r="F1111" s="549">
        <f t="shared" si="95"/>
        <v>0</v>
      </c>
      <c r="G1111" s="506">
        <f t="shared" si="96"/>
        <v>0</v>
      </c>
      <c r="H1111" s="554">
        <f>+J1049*G1111+E1111</f>
        <v>0</v>
      </c>
      <c r="I1111" s="555">
        <f>+J1050*G1111+E1111</f>
        <v>0</v>
      </c>
      <c r="J1111" s="552">
        <f t="shared" si="97"/>
        <v>0</v>
      </c>
      <c r="K1111" s="552"/>
      <c r="L1111" s="572"/>
      <c r="M1111" s="552">
        <f t="shared" si="98"/>
        <v>0</v>
      </c>
      <c r="N1111" s="572"/>
      <c r="O1111" s="552">
        <f t="shared" si="99"/>
        <v>0</v>
      </c>
      <c r="P1111" s="552">
        <f t="shared" si="100"/>
        <v>0</v>
      </c>
    </row>
    <row r="1112" spans="3:16">
      <c r="C1112" s="548">
        <f>IF(D1048="","-",+C1111+1)</f>
        <v>2082</v>
      </c>
      <c r="D1112" s="506">
        <f t="shared" si="101"/>
        <v>0</v>
      </c>
      <c r="E1112" s="549">
        <f t="shared" si="102"/>
        <v>0</v>
      </c>
      <c r="F1112" s="549">
        <f t="shared" si="95"/>
        <v>0</v>
      </c>
      <c r="G1112" s="506">
        <f t="shared" si="96"/>
        <v>0</v>
      </c>
      <c r="H1112" s="554">
        <f>+J1049*G1112+E1112</f>
        <v>0</v>
      </c>
      <c r="I1112" s="555">
        <f>+J1050*G1112+E1112</f>
        <v>0</v>
      </c>
      <c r="J1112" s="552">
        <f t="shared" si="97"/>
        <v>0</v>
      </c>
      <c r="K1112" s="552"/>
      <c r="L1112" s="572"/>
      <c r="M1112" s="552">
        <f t="shared" si="98"/>
        <v>0</v>
      </c>
      <c r="N1112" s="572"/>
      <c r="O1112" s="552">
        <f t="shared" si="99"/>
        <v>0</v>
      </c>
      <c r="P1112" s="552">
        <f t="shared" si="100"/>
        <v>0</v>
      </c>
    </row>
    <row r="1113" spans="3:16" ht="13.5" thickBot="1">
      <c r="C1113" s="558">
        <f>IF(D1048="","-",+C1112+1)</f>
        <v>2083</v>
      </c>
      <c r="D1113" s="1085">
        <f t="shared" si="101"/>
        <v>0</v>
      </c>
      <c r="E1113" s="560">
        <f t="shared" ref="E1113" si="103">IF(D1113&gt;$J$967,$J$967,D1113)</f>
        <v>0</v>
      </c>
      <c r="F1113" s="560">
        <f t="shared" si="95"/>
        <v>0</v>
      </c>
      <c r="G1113" s="559">
        <f t="shared" si="96"/>
        <v>0</v>
      </c>
      <c r="H1113" s="561">
        <f>+J1049*G1113+E1113</f>
        <v>0</v>
      </c>
      <c r="I1113" s="561">
        <f>+J1050*G1113+E1113</f>
        <v>0</v>
      </c>
      <c r="J1113" s="562">
        <f t="shared" si="97"/>
        <v>0</v>
      </c>
      <c r="K1113" s="552"/>
      <c r="L1113" s="573"/>
      <c r="M1113" s="562">
        <f t="shared" si="98"/>
        <v>0</v>
      </c>
      <c r="N1113" s="573"/>
      <c r="O1113" s="562">
        <f t="shared" si="99"/>
        <v>0</v>
      </c>
      <c r="P1113" s="562">
        <f t="shared" si="100"/>
        <v>0</v>
      </c>
    </row>
    <row r="1114" spans="3:16">
      <c r="C1114" s="506" t="s">
        <v>91</v>
      </c>
      <c r="D1114" s="503"/>
      <c r="E1114" s="503">
        <f>SUM(E1054:E1113)</f>
        <v>6031534.8899999997</v>
      </c>
      <c r="F1114" s="503"/>
      <c r="G1114" s="503"/>
      <c r="H1114" s="503">
        <f>SUM(H1054:H1113)</f>
        <v>18286698.361923236</v>
      </c>
      <c r="I1114" s="503">
        <f>SUM(I1054:I1113)</f>
        <v>18286698.361923236</v>
      </c>
      <c r="J1114" s="503">
        <f>SUM(J1054:J1113)</f>
        <v>0</v>
      </c>
      <c r="K1114" s="503"/>
      <c r="L1114" s="503"/>
      <c r="M1114" s="503"/>
      <c r="N1114" s="503"/>
      <c r="O1114" s="503"/>
    </row>
    <row r="1115" spans="3:16">
      <c r="D1115" s="47"/>
      <c r="E1115" s="3"/>
      <c r="F1115" s="3"/>
      <c r="G1115" s="3"/>
      <c r="H1115" s="3"/>
      <c r="I1115" s="490"/>
      <c r="J1115" s="490"/>
      <c r="K1115" s="503"/>
      <c r="L1115" s="490"/>
      <c r="M1115" s="490"/>
      <c r="N1115" s="490"/>
      <c r="O1115" s="490"/>
    </row>
    <row r="1116" spans="3:16">
      <c r="C1116" s="3" t="s">
        <v>13</v>
      </c>
      <c r="D1116" s="47"/>
      <c r="E1116" s="3"/>
      <c r="F1116" s="3"/>
      <c r="G1116" s="3"/>
      <c r="H1116" s="3"/>
      <c r="I1116" s="490"/>
      <c r="J1116" s="490"/>
      <c r="K1116" s="503"/>
      <c r="L1116" s="490"/>
      <c r="M1116" s="490"/>
      <c r="N1116" s="490"/>
      <c r="O1116" s="490"/>
    </row>
    <row r="1117" spans="3:16">
      <c r="C1117" s="3"/>
      <c r="D1117" s="47"/>
      <c r="E1117" s="3"/>
      <c r="F1117" s="3"/>
      <c r="G1117" s="3"/>
      <c r="H1117" s="3"/>
      <c r="I1117" s="490"/>
      <c r="J1117" s="490"/>
      <c r="K1117" s="503"/>
      <c r="L1117" s="490"/>
      <c r="M1117" s="490"/>
      <c r="N1117" s="490"/>
      <c r="O1117" s="490"/>
    </row>
    <row r="1118" spans="3:16">
      <c r="C1118" s="518" t="s">
        <v>14</v>
      </c>
      <c r="D1118" s="506"/>
      <c r="E1118" s="506"/>
      <c r="F1118" s="506"/>
      <c r="G1118" s="506"/>
      <c r="H1118" s="503"/>
      <c r="I1118" s="503"/>
      <c r="J1118" s="564"/>
      <c r="K1118" s="564"/>
      <c r="L1118" s="564"/>
      <c r="M1118" s="564"/>
      <c r="N1118" s="564"/>
      <c r="O1118" s="564"/>
    </row>
    <row r="1119" spans="3:16">
      <c r="C1119" s="507" t="s">
        <v>271</v>
      </c>
      <c r="D1119" s="506"/>
      <c r="E1119" s="506"/>
      <c r="F1119" s="506"/>
      <c r="G1119" s="506"/>
      <c r="H1119" s="503"/>
      <c r="I1119" s="503"/>
      <c r="J1119" s="564"/>
      <c r="K1119" s="564"/>
      <c r="L1119" s="564"/>
      <c r="M1119" s="564"/>
      <c r="N1119" s="564"/>
      <c r="O1119" s="564"/>
    </row>
    <row r="1120" spans="3:16">
      <c r="C1120" s="507" t="s">
        <v>92</v>
      </c>
      <c r="D1120" s="506"/>
      <c r="E1120" s="506"/>
      <c r="F1120" s="506"/>
      <c r="G1120" s="506"/>
      <c r="H1120" s="503"/>
      <c r="I1120" s="503"/>
      <c r="J1120" s="564"/>
      <c r="K1120" s="564"/>
      <c r="L1120" s="564"/>
      <c r="M1120" s="564"/>
      <c r="N1120" s="564"/>
      <c r="O1120" s="564"/>
    </row>
    <row r="1121" spans="2:16" ht="18">
      <c r="B1121" s="449" t="s">
        <v>472</v>
      </c>
      <c r="C1121" s="122" t="s">
        <v>93</v>
      </c>
      <c r="D1121" s="47"/>
      <c r="E1121" s="3"/>
      <c r="F1121" s="3"/>
      <c r="G1121" s="3"/>
      <c r="H1121" s="3"/>
      <c r="I1121" s="490"/>
      <c r="J1121" s="490"/>
      <c r="K1121" s="503"/>
      <c r="L1121" s="490"/>
      <c r="M1121" s="490"/>
      <c r="N1121" s="490"/>
      <c r="O1121" s="490"/>
    </row>
    <row r="1122" spans="2:16" ht="18.75">
      <c r="B1122" s="449"/>
      <c r="C1122" s="6"/>
      <c r="D1122" s="47"/>
      <c r="E1122" s="3"/>
      <c r="F1122" s="3"/>
      <c r="G1122" s="3"/>
      <c r="H1122" s="3"/>
      <c r="I1122" s="490"/>
      <c r="J1122" s="490"/>
      <c r="K1122" s="503"/>
      <c r="L1122" s="490"/>
      <c r="M1122" s="490"/>
      <c r="N1122" s="490"/>
      <c r="O1122" s="490"/>
    </row>
    <row r="1123" spans="2:16" ht="18.75">
      <c r="B1123" s="449"/>
      <c r="C1123" s="6" t="s">
        <v>94</v>
      </c>
      <c r="D1123" s="47"/>
      <c r="E1123" s="3"/>
      <c r="F1123" s="3"/>
      <c r="G1123" s="3"/>
      <c r="H1123" s="3"/>
      <c r="I1123" s="490"/>
      <c r="J1123" s="490"/>
      <c r="K1123" s="503"/>
      <c r="L1123" s="490"/>
      <c r="M1123" s="490"/>
      <c r="N1123" s="490"/>
      <c r="O1123" s="490"/>
    </row>
    <row r="1124" spans="2:16" ht="15.75" thickBot="1">
      <c r="C1124" s="132"/>
      <c r="D1124" s="47"/>
      <c r="E1124" s="3"/>
      <c r="F1124" s="3"/>
      <c r="G1124" s="3"/>
      <c r="H1124" s="3"/>
      <c r="I1124" s="490"/>
      <c r="J1124" s="490"/>
      <c r="K1124" s="503"/>
      <c r="L1124" s="490"/>
      <c r="M1124" s="490"/>
      <c r="N1124" s="490"/>
      <c r="O1124" s="490"/>
    </row>
    <row r="1125" spans="2:16" ht="15.75">
      <c r="C1125" s="451" t="s">
        <v>95</v>
      </c>
      <c r="D1125" s="47"/>
      <c r="E1125" s="3"/>
      <c r="F1125" s="3"/>
      <c r="G1125" s="3"/>
      <c r="H1125" s="566"/>
      <c r="I1125" s="3" t="s">
        <v>74</v>
      </c>
      <c r="J1125" s="3"/>
      <c r="K1125" s="3"/>
      <c r="L1125" s="593">
        <f>+J1131</f>
        <v>2025</v>
      </c>
      <c r="M1125" s="576" t="s">
        <v>52</v>
      </c>
      <c r="N1125" s="576" t="s">
        <v>53</v>
      </c>
      <c r="O1125" s="577" t="s">
        <v>55</v>
      </c>
    </row>
    <row r="1126" spans="2:16" ht="15.75">
      <c r="C1126" s="451"/>
      <c r="D1126" s="47"/>
      <c r="E1126" s="3"/>
      <c r="F1126" s="3"/>
      <c r="H1126" s="3"/>
      <c r="I1126" s="513"/>
      <c r="J1126" s="513"/>
      <c r="K1126" s="514"/>
      <c r="L1126" s="594" t="s">
        <v>243</v>
      </c>
      <c r="M1126" s="595">
        <f>VLOOKUP(J1131,C1138:P1197,10)</f>
        <v>632662.40422997461</v>
      </c>
      <c r="N1126" s="595">
        <f>VLOOKUP(J1131,C1138:P1197,12)</f>
        <v>632662.40422997461</v>
      </c>
      <c r="O1126" s="596">
        <f>+N1126-M1126</f>
        <v>0</v>
      </c>
    </row>
    <row r="1127" spans="2:16">
      <c r="C1127" s="518" t="s">
        <v>96</v>
      </c>
      <c r="D1127" s="1210" t="s">
        <v>999</v>
      </c>
      <c r="E1127" s="1210"/>
      <c r="F1127" s="1210"/>
      <c r="G1127" s="1210"/>
      <c r="H1127" s="1210"/>
      <c r="I1127" s="1210"/>
      <c r="J1127" s="490"/>
      <c r="K1127" s="503"/>
      <c r="L1127" s="594" t="s">
        <v>244</v>
      </c>
      <c r="M1127" s="597">
        <f>VLOOKUP(J1131,C1138:P1197,6)</f>
        <v>570557.20777736581</v>
      </c>
      <c r="N1127" s="597">
        <f>VLOOKUP(J1131,C1138:P1197,7)</f>
        <v>570557.20777736581</v>
      </c>
      <c r="O1127" s="598">
        <f>+N1127-M1127</f>
        <v>0</v>
      </c>
    </row>
    <row r="1128" spans="2:16" ht="13.5" thickBot="1">
      <c r="C1128" s="522"/>
      <c r="D1128" s="1210"/>
      <c r="E1128" s="1210"/>
      <c r="F1128" s="1210"/>
      <c r="G1128" s="1210"/>
      <c r="H1128" s="1210"/>
      <c r="I1128" s="1210"/>
      <c r="J1128" s="490"/>
      <c r="K1128" s="503"/>
      <c r="L1128" s="533" t="s">
        <v>245</v>
      </c>
      <c r="M1128" s="599">
        <f>+M1127-M1126</f>
        <v>-62105.196452608798</v>
      </c>
      <c r="N1128" s="599">
        <f>+N1127-N1126</f>
        <v>-62105.196452608798</v>
      </c>
      <c r="O1128" s="600">
        <f>+O1127-O1126</f>
        <v>0</v>
      </c>
    </row>
    <row r="1129" spans="2:16" ht="13.5" thickBot="1">
      <c r="C1129" s="522"/>
      <c r="D1129" s="3"/>
      <c r="E1129" s="524"/>
      <c r="F1129" s="524"/>
      <c r="G1129" s="524"/>
      <c r="H1129" s="524"/>
      <c r="I1129" s="524"/>
      <c r="J1129" s="524"/>
      <c r="K1129" s="524"/>
      <c r="L1129" s="524"/>
      <c r="M1129" s="524"/>
      <c r="N1129" s="524"/>
      <c r="O1129" s="524"/>
    </row>
    <row r="1130" spans="2:16" ht="13.5" thickBot="1">
      <c r="C1130" s="525" t="s">
        <v>97</v>
      </c>
      <c r="D1130" s="526"/>
      <c r="E1130" s="526"/>
      <c r="F1130" s="526"/>
      <c r="G1130" s="526"/>
      <c r="H1130" s="526"/>
      <c r="I1130" s="526"/>
      <c r="J1130" s="526"/>
    </row>
    <row r="1131" spans="2:16" ht="15">
      <c r="C1131" s="528" t="s">
        <v>75</v>
      </c>
      <c r="D1131" s="568">
        <v>4552254.13</v>
      </c>
      <c r="E1131" s="3" t="s">
        <v>76</v>
      </c>
      <c r="H1131" s="47"/>
      <c r="I1131" s="47"/>
      <c r="J1131" s="529">
        <f>$J$93</f>
        <v>2025</v>
      </c>
      <c r="K1131" s="70"/>
      <c r="L1131" s="1211" t="s">
        <v>77</v>
      </c>
      <c r="M1131" s="1211"/>
      <c r="N1131" s="1211"/>
      <c r="O1131" s="1211"/>
    </row>
    <row r="1132" spans="2:16">
      <c r="C1132" s="528" t="s">
        <v>78</v>
      </c>
      <c r="D1132" s="569">
        <v>2021</v>
      </c>
      <c r="E1132" s="528" t="s">
        <v>79</v>
      </c>
      <c r="F1132" s="47"/>
      <c r="G1132" s="47"/>
      <c r="I1132"/>
      <c r="J1132" s="570">
        <f>IF(H1125="",0,$F$17)</f>
        <v>0</v>
      </c>
      <c r="K1132" s="530"/>
      <c r="L1132" s="503" t="s">
        <v>285</v>
      </c>
    </row>
    <row r="1133" spans="2:16">
      <c r="C1133" s="528" t="s">
        <v>80</v>
      </c>
      <c r="D1133" s="568">
        <v>4</v>
      </c>
      <c r="E1133" s="528" t="s">
        <v>81</v>
      </c>
      <c r="F1133" s="47"/>
      <c r="G1133" s="47"/>
      <c r="I1133"/>
      <c r="J1133" s="531">
        <f>$F$70</f>
        <v>0.11032660055737779</v>
      </c>
      <c r="K1133" s="489"/>
      <c r="L1133" s="3" t="str">
        <f>"          INPUT TRUE-UP ARR (WITH &amp; WITHOUT INCENTIVES) FROM EACH PRIOR YEAR"</f>
        <v xml:space="preserve">          INPUT TRUE-UP ARR (WITH &amp; WITHOUT INCENTIVES) FROM EACH PRIOR YEAR</v>
      </c>
    </row>
    <row r="1134" spans="2:16">
      <c r="C1134" s="528" t="s">
        <v>82</v>
      </c>
      <c r="D1134" s="532">
        <f>H$79</f>
        <v>36</v>
      </c>
      <c r="E1134" s="528" t="s">
        <v>83</v>
      </c>
      <c r="F1134" s="47"/>
      <c r="G1134" s="47"/>
      <c r="I1134"/>
      <c r="J1134" s="531">
        <f>IF(H1125="",+J1133,$F$69)</f>
        <v>0.11032660055737779</v>
      </c>
      <c r="K1134" s="489"/>
      <c r="L1134" s="3" t="s">
        <v>165</v>
      </c>
      <c r="M1134" s="489"/>
      <c r="N1134" s="489"/>
      <c r="O1134" s="489"/>
    </row>
    <row r="1135" spans="2:16" ht="13.5" thickBot="1">
      <c r="C1135" s="528" t="s">
        <v>84</v>
      </c>
      <c r="D1135" s="969" t="s">
        <v>812</v>
      </c>
      <c r="E1135" s="533" t="s">
        <v>85</v>
      </c>
      <c r="F1135" s="534"/>
      <c r="G1135" s="534"/>
      <c r="H1135" s="535"/>
      <c r="I1135" s="535"/>
      <c r="J1135" s="521">
        <f>IF(D1131=0,0,D1131/D1134)</f>
        <v>126451.50361111111</v>
      </c>
      <c r="K1135" s="503"/>
      <c r="L1135" s="503" t="s">
        <v>166</v>
      </c>
      <c r="M1135" s="503"/>
      <c r="N1135" s="503"/>
      <c r="O1135" s="503"/>
    </row>
    <row r="1136" spans="2:16" ht="38.25">
      <c r="B1136" s="450"/>
      <c r="C1136" s="536" t="s">
        <v>75</v>
      </c>
      <c r="D1136" s="537" t="s">
        <v>86</v>
      </c>
      <c r="E1136" s="538" t="s">
        <v>87</v>
      </c>
      <c r="F1136" s="537" t="s">
        <v>88</v>
      </c>
      <c r="G1136" s="537" t="s">
        <v>246</v>
      </c>
      <c r="H1136" s="538" t="s">
        <v>159</v>
      </c>
      <c r="I1136" s="539" t="s">
        <v>159</v>
      </c>
      <c r="J1136" s="536" t="s">
        <v>98</v>
      </c>
      <c r="K1136" s="540"/>
      <c r="L1136" s="538" t="s">
        <v>161</v>
      </c>
      <c r="M1136" s="538" t="s">
        <v>167</v>
      </c>
      <c r="N1136" s="538" t="s">
        <v>161</v>
      </c>
      <c r="O1136" s="538" t="s">
        <v>169</v>
      </c>
      <c r="P1136" s="538" t="s">
        <v>89</v>
      </c>
    </row>
    <row r="1137" spans="3:16" ht="13.5" thickBot="1">
      <c r="C1137" s="542" t="s">
        <v>475</v>
      </c>
      <c r="D1137" s="543" t="s">
        <v>476</v>
      </c>
      <c r="E1137" s="542" t="s">
        <v>369</v>
      </c>
      <c r="F1137" s="543" t="s">
        <v>476</v>
      </c>
      <c r="G1137" s="543" t="s">
        <v>476</v>
      </c>
      <c r="H1137" s="544" t="s">
        <v>101</v>
      </c>
      <c r="I1137" s="545" t="s">
        <v>103</v>
      </c>
      <c r="J1137" s="542" t="s">
        <v>15</v>
      </c>
      <c r="K1137" s="546"/>
      <c r="L1137" s="544" t="s">
        <v>90</v>
      </c>
      <c r="M1137" s="544" t="s">
        <v>90</v>
      </c>
      <c r="N1137" s="544" t="s">
        <v>263</v>
      </c>
      <c r="O1137" s="544" t="s">
        <v>263</v>
      </c>
      <c r="P1137" s="544" t="s">
        <v>263</v>
      </c>
    </row>
    <row r="1138" spans="3:16">
      <c r="C1138" s="548">
        <f>IF(D1132= "","-",D1132)</f>
        <v>2021</v>
      </c>
      <c r="D1138" s="506">
        <f>+D1131</f>
        <v>4552254.13</v>
      </c>
      <c r="E1138" s="554">
        <f>+J1135/12*(12-D1133)</f>
        <v>84301.002407407403</v>
      </c>
      <c r="F1138" s="601">
        <f t="shared" ref="F1138:F1197" si="104">+D1138-E1138</f>
        <v>4467953.1275925925</v>
      </c>
      <c r="G1138" s="506">
        <f t="shared" ref="G1138:G1197" si="105">+(D1138+F1138)/2</f>
        <v>4510103.6287962962</v>
      </c>
      <c r="H1138" s="550">
        <f>+J1133*G1138+E1138</f>
        <v>581885.40393399645</v>
      </c>
      <c r="I1138" s="551">
        <f>+J1134*G1138+E1138</f>
        <v>581885.40393399645</v>
      </c>
      <c r="J1138" s="552">
        <f t="shared" ref="J1138:J1197" si="106">+I1138-H1138</f>
        <v>0</v>
      </c>
      <c r="K1138" s="552"/>
      <c r="L1138" s="571">
        <v>0</v>
      </c>
      <c r="M1138" s="602">
        <f t="shared" ref="M1138:M1197" si="107">IF(L1138&lt;&gt;0,+H1138-L1138,0)</f>
        <v>0</v>
      </c>
      <c r="N1138" s="571">
        <v>0</v>
      </c>
      <c r="O1138" s="602">
        <f t="shared" ref="O1138:O1197" si="108">IF(N1138&lt;&gt;0,+I1138-N1138,0)</f>
        <v>0</v>
      </c>
      <c r="P1138" s="602">
        <f t="shared" ref="P1138:P1197" si="109">+O1138-M1138</f>
        <v>0</v>
      </c>
    </row>
    <row r="1139" spans="3:16">
      <c r="C1139" s="548">
        <f>IF(D1132="","-",+C1138+1)</f>
        <v>2022</v>
      </c>
      <c r="D1139" s="970">
        <f t="shared" ref="D1139:D1197" si="110">F1138</f>
        <v>4467953.1275925925</v>
      </c>
      <c r="E1139" s="549">
        <f>IF(D1139&gt;$J$1135,$J$1135,D1139)</f>
        <v>126451.50361111111</v>
      </c>
      <c r="F1139" s="549">
        <f t="shared" si="104"/>
        <v>4341501.6239814814</v>
      </c>
      <c r="G1139" s="506">
        <f t="shared" si="105"/>
        <v>4404727.3757870365</v>
      </c>
      <c r="H1139" s="554">
        <f>+J1133*G1139+E1139</f>
        <v>612410.10136371444</v>
      </c>
      <c r="I1139" s="555">
        <f>+J1134*G1139+E1139</f>
        <v>612410.10136371444</v>
      </c>
      <c r="J1139" s="552">
        <f t="shared" si="106"/>
        <v>0</v>
      </c>
      <c r="K1139" s="552"/>
      <c r="L1139" s="572">
        <v>0</v>
      </c>
      <c r="M1139" s="552">
        <f t="shared" si="107"/>
        <v>0</v>
      </c>
      <c r="N1139" s="572">
        <v>0</v>
      </c>
      <c r="O1139" s="552">
        <f t="shared" si="108"/>
        <v>0</v>
      </c>
      <c r="P1139" s="552">
        <f t="shared" si="109"/>
        <v>0</v>
      </c>
    </row>
    <row r="1140" spans="3:16">
      <c r="C1140" s="548">
        <f>IF(D1132="","-",+C1139+1)</f>
        <v>2023</v>
      </c>
      <c r="D1140" s="506">
        <f t="shared" si="110"/>
        <v>4341501.6239814814</v>
      </c>
      <c r="E1140" s="549">
        <f t="shared" ref="E1140:E1197" si="111">IF(D1140&gt;$J$1135,$J$1135,D1140)</f>
        <v>126451.50361111111</v>
      </c>
      <c r="F1140" s="549">
        <f t="shared" si="104"/>
        <v>4215050.1203703703</v>
      </c>
      <c r="G1140" s="506">
        <f t="shared" si="105"/>
        <v>4278275.8721759263</v>
      </c>
      <c r="H1140" s="554">
        <f>+J1133*G1140+E1140</f>
        <v>598459.13683493168</v>
      </c>
      <c r="I1140" s="555">
        <f>+J1134*G1140+E1140</f>
        <v>598459.13683493168</v>
      </c>
      <c r="J1140" s="552">
        <f t="shared" si="106"/>
        <v>0</v>
      </c>
      <c r="K1140" s="552"/>
      <c r="L1140" s="572">
        <v>0</v>
      </c>
      <c r="M1140" s="552">
        <f t="shared" si="107"/>
        <v>0</v>
      </c>
      <c r="N1140" s="572">
        <v>0</v>
      </c>
      <c r="O1140" s="552">
        <f t="shared" si="108"/>
        <v>0</v>
      </c>
      <c r="P1140" s="552">
        <f t="shared" si="109"/>
        <v>0</v>
      </c>
    </row>
    <row r="1141" spans="3:16">
      <c r="C1141" s="548">
        <f>IF(D1132="","-",+C1140+1)</f>
        <v>2024</v>
      </c>
      <c r="D1141" s="506">
        <f t="shared" si="110"/>
        <v>4215050.1203703703</v>
      </c>
      <c r="E1141" s="549">
        <f t="shared" si="111"/>
        <v>126451.50361111111</v>
      </c>
      <c r="F1141" s="549">
        <f t="shared" si="104"/>
        <v>4088598.6167592593</v>
      </c>
      <c r="G1141" s="506">
        <f t="shared" si="105"/>
        <v>4151824.3685648148</v>
      </c>
      <c r="H1141" s="554">
        <f>+J1133*G1141+E1141</f>
        <v>584508.17230614868</v>
      </c>
      <c r="I1141" s="555">
        <f>+J1134*G1141+E1141</f>
        <v>584508.17230614868</v>
      </c>
      <c r="J1141" s="552">
        <f t="shared" si="106"/>
        <v>0</v>
      </c>
      <c r="K1141" s="552"/>
      <c r="L1141" s="572">
        <v>595733.25568499009</v>
      </c>
      <c r="M1141" s="552">
        <f t="shared" si="107"/>
        <v>-11225.083378841402</v>
      </c>
      <c r="N1141" s="572">
        <v>595733.25568499009</v>
      </c>
      <c r="O1141" s="552">
        <f t="shared" si="108"/>
        <v>-11225.083378841402</v>
      </c>
      <c r="P1141" s="552">
        <f t="shared" si="109"/>
        <v>0</v>
      </c>
    </row>
    <row r="1142" spans="3:16">
      <c r="C1142" s="548">
        <f>IF(D1132="","-",+C1141+1)</f>
        <v>2025</v>
      </c>
      <c r="D1142" s="506">
        <f t="shared" si="110"/>
        <v>4088598.6167592593</v>
      </c>
      <c r="E1142" s="549">
        <f t="shared" si="111"/>
        <v>126451.50361111111</v>
      </c>
      <c r="F1142" s="549">
        <f t="shared" si="104"/>
        <v>3962147.1131481482</v>
      </c>
      <c r="G1142" s="506">
        <f t="shared" si="105"/>
        <v>4025372.8649537037</v>
      </c>
      <c r="H1142" s="554">
        <f>+J1133*G1142+E1142</f>
        <v>570557.20777736581</v>
      </c>
      <c r="I1142" s="555">
        <f>+J1134*G1142+E1142</f>
        <v>570557.20777736581</v>
      </c>
      <c r="J1142" s="552">
        <f t="shared" si="106"/>
        <v>0</v>
      </c>
      <c r="K1142" s="552"/>
      <c r="L1142" s="572">
        <v>632662.40422997461</v>
      </c>
      <c r="M1142" s="552">
        <f t="shared" si="107"/>
        <v>-62105.196452608798</v>
      </c>
      <c r="N1142" s="572">
        <v>632662.40422997461</v>
      </c>
      <c r="O1142" s="552">
        <f t="shared" si="108"/>
        <v>-62105.196452608798</v>
      </c>
      <c r="P1142" s="552">
        <f t="shared" si="109"/>
        <v>0</v>
      </c>
    </row>
    <row r="1143" spans="3:16">
      <c r="C1143" s="548">
        <f>IF(D1132="","-",+C1142+1)</f>
        <v>2026</v>
      </c>
      <c r="D1143" s="506">
        <f t="shared" si="110"/>
        <v>3962147.1131481482</v>
      </c>
      <c r="E1143" s="549">
        <f t="shared" si="111"/>
        <v>126451.50361111111</v>
      </c>
      <c r="F1143" s="549">
        <f t="shared" si="104"/>
        <v>3835695.6095370371</v>
      </c>
      <c r="G1143" s="506">
        <f t="shared" si="105"/>
        <v>3898921.3613425926</v>
      </c>
      <c r="H1143" s="554">
        <f>+J1133*G1143+E1143</f>
        <v>556606.24324858293</v>
      </c>
      <c r="I1143" s="555">
        <f>+J1134*G1143+E1143</f>
        <v>556606.24324858293</v>
      </c>
      <c r="J1143" s="552">
        <f t="shared" si="106"/>
        <v>0</v>
      </c>
      <c r="K1143" s="552"/>
      <c r="L1143" s="572"/>
      <c r="M1143" s="552">
        <f t="shared" si="107"/>
        <v>0</v>
      </c>
      <c r="N1143" s="572"/>
      <c r="O1143" s="552">
        <f t="shared" si="108"/>
        <v>0</v>
      </c>
      <c r="P1143" s="552">
        <f t="shared" si="109"/>
        <v>0</v>
      </c>
    </row>
    <row r="1144" spans="3:16">
      <c r="C1144" s="548">
        <f>IF(D1132="","-",+C1143+1)</f>
        <v>2027</v>
      </c>
      <c r="D1144" s="506">
        <f t="shared" si="110"/>
        <v>3835695.6095370371</v>
      </c>
      <c r="E1144" s="549">
        <f t="shared" si="111"/>
        <v>126451.50361111111</v>
      </c>
      <c r="F1144" s="549">
        <f t="shared" si="104"/>
        <v>3709244.105925926</v>
      </c>
      <c r="G1144" s="506">
        <f t="shared" si="105"/>
        <v>3772469.8577314815</v>
      </c>
      <c r="H1144" s="554">
        <f>+J1133*G1144+E1144</f>
        <v>542655.27871980006</v>
      </c>
      <c r="I1144" s="555">
        <f>+J1134*G1144+E1144</f>
        <v>542655.27871980006</v>
      </c>
      <c r="J1144" s="552">
        <f t="shared" si="106"/>
        <v>0</v>
      </c>
      <c r="K1144" s="552"/>
      <c r="L1144" s="572"/>
      <c r="M1144" s="552">
        <f t="shared" si="107"/>
        <v>0</v>
      </c>
      <c r="N1144" s="572"/>
      <c r="O1144" s="552">
        <f t="shared" si="108"/>
        <v>0</v>
      </c>
      <c r="P1144" s="552">
        <f t="shared" si="109"/>
        <v>0</v>
      </c>
    </row>
    <row r="1145" spans="3:16">
      <c r="C1145" s="548">
        <f>IF(D1132="","-",+C1144+1)</f>
        <v>2028</v>
      </c>
      <c r="D1145" s="506">
        <f t="shared" si="110"/>
        <v>3709244.105925926</v>
      </c>
      <c r="E1145" s="549">
        <f t="shared" si="111"/>
        <v>126451.50361111111</v>
      </c>
      <c r="F1145" s="549">
        <f t="shared" si="104"/>
        <v>3582792.6023148149</v>
      </c>
      <c r="G1145" s="506">
        <f t="shared" si="105"/>
        <v>3646018.3541203705</v>
      </c>
      <c r="H1145" s="554">
        <f>+J1133*G1145+E1145</f>
        <v>528704.31419101718</v>
      </c>
      <c r="I1145" s="555">
        <f>+J1134*G1145+E1145</f>
        <v>528704.31419101718</v>
      </c>
      <c r="J1145" s="552">
        <f t="shared" si="106"/>
        <v>0</v>
      </c>
      <c r="K1145" s="552"/>
      <c r="L1145" s="572"/>
      <c r="M1145" s="552">
        <f t="shared" si="107"/>
        <v>0</v>
      </c>
      <c r="N1145" s="572"/>
      <c r="O1145" s="552">
        <f t="shared" si="108"/>
        <v>0</v>
      </c>
      <c r="P1145" s="552">
        <f t="shared" si="109"/>
        <v>0</v>
      </c>
    </row>
    <row r="1146" spans="3:16">
      <c r="C1146" s="548">
        <f>IF(D1132="","-",+C1145+1)</f>
        <v>2029</v>
      </c>
      <c r="D1146" s="506">
        <f t="shared" si="110"/>
        <v>3582792.6023148149</v>
      </c>
      <c r="E1146" s="549">
        <f t="shared" si="111"/>
        <v>126451.50361111111</v>
      </c>
      <c r="F1146" s="549">
        <f t="shared" si="104"/>
        <v>3456341.0987037038</v>
      </c>
      <c r="G1146" s="506">
        <f t="shared" si="105"/>
        <v>3519566.8505092594</v>
      </c>
      <c r="H1146" s="554">
        <f>+J1133*G1146+E1146</f>
        <v>514753.34966223442</v>
      </c>
      <c r="I1146" s="555">
        <f>+J1134*G1146+E1146</f>
        <v>514753.34966223442</v>
      </c>
      <c r="J1146" s="552">
        <f t="shared" si="106"/>
        <v>0</v>
      </c>
      <c r="K1146" s="552"/>
      <c r="L1146" s="572"/>
      <c r="M1146" s="552">
        <f t="shared" si="107"/>
        <v>0</v>
      </c>
      <c r="N1146" s="572"/>
      <c r="O1146" s="552">
        <f t="shared" si="108"/>
        <v>0</v>
      </c>
      <c r="P1146" s="552">
        <f t="shared" si="109"/>
        <v>0</v>
      </c>
    </row>
    <row r="1147" spans="3:16">
      <c r="C1147" s="548">
        <f>IF(D1132="","-",+C1146+1)</f>
        <v>2030</v>
      </c>
      <c r="D1147" s="506">
        <f t="shared" si="110"/>
        <v>3456341.0987037038</v>
      </c>
      <c r="E1147" s="549">
        <f t="shared" si="111"/>
        <v>126451.50361111111</v>
      </c>
      <c r="F1147" s="549">
        <f t="shared" si="104"/>
        <v>3329889.5950925928</v>
      </c>
      <c r="G1147" s="506">
        <f t="shared" si="105"/>
        <v>3393115.3468981483</v>
      </c>
      <c r="H1147" s="554">
        <f>+J1133*G1147+E1147</f>
        <v>500802.38513345155</v>
      </c>
      <c r="I1147" s="555">
        <f>+J1134*G1147+E1147</f>
        <v>500802.38513345155</v>
      </c>
      <c r="J1147" s="552">
        <f t="shared" si="106"/>
        <v>0</v>
      </c>
      <c r="K1147" s="552"/>
      <c r="L1147" s="572"/>
      <c r="M1147" s="552">
        <f t="shared" si="107"/>
        <v>0</v>
      </c>
      <c r="N1147" s="572"/>
      <c r="O1147" s="552">
        <f t="shared" si="108"/>
        <v>0</v>
      </c>
      <c r="P1147" s="552">
        <f t="shared" si="109"/>
        <v>0</v>
      </c>
    </row>
    <row r="1148" spans="3:16">
      <c r="C1148" s="548">
        <f>IF(D1132="","-",+C1147+1)</f>
        <v>2031</v>
      </c>
      <c r="D1148" s="506">
        <f t="shared" si="110"/>
        <v>3329889.5950925928</v>
      </c>
      <c r="E1148" s="549">
        <f t="shared" si="111"/>
        <v>126451.50361111111</v>
      </c>
      <c r="F1148" s="549">
        <f t="shared" si="104"/>
        <v>3203438.0914814817</v>
      </c>
      <c r="G1148" s="506">
        <f t="shared" si="105"/>
        <v>3266663.8432870372</v>
      </c>
      <c r="H1148" s="554">
        <f>+J1133*G1148+E1148</f>
        <v>486851.42060466867</v>
      </c>
      <c r="I1148" s="555">
        <f>+J1134*G1148+E1148</f>
        <v>486851.42060466867</v>
      </c>
      <c r="J1148" s="552">
        <f t="shared" si="106"/>
        <v>0</v>
      </c>
      <c r="K1148" s="552"/>
      <c r="L1148" s="572"/>
      <c r="M1148" s="552">
        <f t="shared" si="107"/>
        <v>0</v>
      </c>
      <c r="N1148" s="572"/>
      <c r="O1148" s="552">
        <f t="shared" si="108"/>
        <v>0</v>
      </c>
      <c r="P1148" s="552">
        <f t="shared" si="109"/>
        <v>0</v>
      </c>
    </row>
    <row r="1149" spans="3:16">
      <c r="C1149" s="548">
        <f>IF(D1132="","-",+C1148+1)</f>
        <v>2032</v>
      </c>
      <c r="D1149" s="506">
        <f t="shared" si="110"/>
        <v>3203438.0914814817</v>
      </c>
      <c r="E1149" s="549">
        <f t="shared" si="111"/>
        <v>126451.50361111111</v>
      </c>
      <c r="F1149" s="549">
        <f t="shared" si="104"/>
        <v>3076986.5878703706</v>
      </c>
      <c r="G1149" s="506">
        <f t="shared" si="105"/>
        <v>3140212.3396759261</v>
      </c>
      <c r="H1149" s="554">
        <f>+J1133*G1149+E1149</f>
        <v>472900.4560758858</v>
      </c>
      <c r="I1149" s="555">
        <f>+J1134*G1149+E1149</f>
        <v>472900.4560758858</v>
      </c>
      <c r="J1149" s="552">
        <f t="shared" si="106"/>
        <v>0</v>
      </c>
      <c r="K1149" s="552"/>
      <c r="L1149" s="572"/>
      <c r="M1149" s="552">
        <f t="shared" si="107"/>
        <v>0</v>
      </c>
      <c r="N1149" s="572"/>
      <c r="O1149" s="552">
        <f t="shared" si="108"/>
        <v>0</v>
      </c>
      <c r="P1149" s="552">
        <f t="shared" si="109"/>
        <v>0</v>
      </c>
    </row>
    <row r="1150" spans="3:16">
      <c r="C1150" s="548">
        <f>IF(D1132="","-",+C1149+1)</f>
        <v>2033</v>
      </c>
      <c r="D1150" s="506">
        <f t="shared" si="110"/>
        <v>3076986.5878703706</v>
      </c>
      <c r="E1150" s="549">
        <f t="shared" si="111"/>
        <v>126451.50361111111</v>
      </c>
      <c r="F1150" s="549">
        <f t="shared" si="104"/>
        <v>2950535.0842592595</v>
      </c>
      <c r="G1150" s="506">
        <f t="shared" si="105"/>
        <v>3013760.8360648151</v>
      </c>
      <c r="H1150" s="554">
        <f>+J1133*G1150+E1150</f>
        <v>458949.49154710292</v>
      </c>
      <c r="I1150" s="555">
        <f>+J1134*G1150+E1150</f>
        <v>458949.49154710292</v>
      </c>
      <c r="J1150" s="552">
        <f t="shared" si="106"/>
        <v>0</v>
      </c>
      <c r="K1150" s="552"/>
      <c r="L1150" s="572"/>
      <c r="M1150" s="552">
        <f t="shared" si="107"/>
        <v>0</v>
      </c>
      <c r="N1150" s="572"/>
      <c r="O1150" s="552">
        <f t="shared" si="108"/>
        <v>0</v>
      </c>
      <c r="P1150" s="552">
        <f t="shared" si="109"/>
        <v>0</v>
      </c>
    </row>
    <row r="1151" spans="3:16">
      <c r="C1151" s="548">
        <f>IF(D1132="","-",+C1150+1)</f>
        <v>2034</v>
      </c>
      <c r="D1151" s="506">
        <f t="shared" si="110"/>
        <v>2950535.0842592595</v>
      </c>
      <c r="E1151" s="549">
        <f t="shared" si="111"/>
        <v>126451.50361111111</v>
      </c>
      <c r="F1151" s="549">
        <f t="shared" si="104"/>
        <v>2824083.5806481484</v>
      </c>
      <c r="G1151" s="506">
        <f t="shared" si="105"/>
        <v>2887309.332453704</v>
      </c>
      <c r="H1151" s="554">
        <f>+J1133*G1151+E1151</f>
        <v>444998.52701832005</v>
      </c>
      <c r="I1151" s="555">
        <f>+J1134*G1151+E1151</f>
        <v>444998.52701832005</v>
      </c>
      <c r="J1151" s="552">
        <f t="shared" si="106"/>
        <v>0</v>
      </c>
      <c r="K1151" s="552"/>
      <c r="L1151" s="572"/>
      <c r="M1151" s="552">
        <f t="shared" si="107"/>
        <v>0</v>
      </c>
      <c r="N1151" s="572"/>
      <c r="O1151" s="552">
        <f t="shared" si="108"/>
        <v>0</v>
      </c>
      <c r="P1151" s="552">
        <f t="shared" si="109"/>
        <v>0</v>
      </c>
    </row>
    <row r="1152" spans="3:16">
      <c r="C1152" s="548">
        <f>IF(D1132="","-",+C1151+1)</f>
        <v>2035</v>
      </c>
      <c r="D1152" s="506">
        <f t="shared" si="110"/>
        <v>2824083.5806481484</v>
      </c>
      <c r="E1152" s="549">
        <f t="shared" si="111"/>
        <v>126451.50361111111</v>
      </c>
      <c r="F1152" s="549">
        <f t="shared" si="104"/>
        <v>2697632.0770370374</v>
      </c>
      <c r="G1152" s="506">
        <f t="shared" si="105"/>
        <v>2760857.8288425929</v>
      </c>
      <c r="H1152" s="554">
        <f>+J1133*G1152+E1152</f>
        <v>431047.56248953717</v>
      </c>
      <c r="I1152" s="555">
        <f>+J1134*G1152+E1152</f>
        <v>431047.56248953717</v>
      </c>
      <c r="J1152" s="552">
        <f t="shared" si="106"/>
        <v>0</v>
      </c>
      <c r="K1152" s="552"/>
      <c r="L1152" s="572"/>
      <c r="M1152" s="552">
        <f t="shared" si="107"/>
        <v>0</v>
      </c>
      <c r="N1152" s="572"/>
      <c r="O1152" s="552">
        <f t="shared" si="108"/>
        <v>0</v>
      </c>
      <c r="P1152" s="552">
        <f t="shared" si="109"/>
        <v>0</v>
      </c>
    </row>
    <row r="1153" spans="3:16">
      <c r="C1153" s="548">
        <f>IF(D1132="","-",+C1152+1)</f>
        <v>2036</v>
      </c>
      <c r="D1153" s="506">
        <f t="shared" si="110"/>
        <v>2697632.0770370374</v>
      </c>
      <c r="E1153" s="549">
        <f t="shared" si="111"/>
        <v>126451.50361111111</v>
      </c>
      <c r="F1153" s="549">
        <f t="shared" si="104"/>
        <v>2571180.5734259263</v>
      </c>
      <c r="G1153" s="506">
        <f t="shared" si="105"/>
        <v>2634406.3252314818</v>
      </c>
      <c r="H1153" s="554">
        <f>+J1133*G1153+E1153</f>
        <v>417096.5979607543</v>
      </c>
      <c r="I1153" s="555">
        <f>+J1134*G1153+E1153</f>
        <v>417096.5979607543</v>
      </c>
      <c r="J1153" s="552">
        <f t="shared" si="106"/>
        <v>0</v>
      </c>
      <c r="K1153" s="552"/>
      <c r="L1153" s="572"/>
      <c r="M1153" s="552">
        <f t="shared" si="107"/>
        <v>0</v>
      </c>
      <c r="N1153" s="572"/>
      <c r="O1153" s="552">
        <f t="shared" si="108"/>
        <v>0</v>
      </c>
      <c r="P1153" s="552">
        <f t="shared" si="109"/>
        <v>0</v>
      </c>
    </row>
    <row r="1154" spans="3:16">
      <c r="C1154" s="548">
        <f>IF(D1132="","-",+C1153+1)</f>
        <v>2037</v>
      </c>
      <c r="D1154" s="506">
        <f t="shared" si="110"/>
        <v>2571180.5734259263</v>
      </c>
      <c r="E1154" s="549">
        <f t="shared" si="111"/>
        <v>126451.50361111111</v>
      </c>
      <c r="F1154" s="549">
        <f t="shared" si="104"/>
        <v>2444729.0698148152</v>
      </c>
      <c r="G1154" s="506">
        <f t="shared" si="105"/>
        <v>2507954.8216203707</v>
      </c>
      <c r="H1154" s="554">
        <f>+J1133*G1154+E1154</f>
        <v>403145.63343197142</v>
      </c>
      <c r="I1154" s="555">
        <f>+J1134*G1154+E1154</f>
        <v>403145.63343197142</v>
      </c>
      <c r="J1154" s="552">
        <f t="shared" si="106"/>
        <v>0</v>
      </c>
      <c r="K1154" s="552"/>
      <c r="L1154" s="572"/>
      <c r="M1154" s="552">
        <f t="shared" si="107"/>
        <v>0</v>
      </c>
      <c r="N1154" s="572"/>
      <c r="O1154" s="552">
        <f t="shared" si="108"/>
        <v>0</v>
      </c>
      <c r="P1154" s="552">
        <f t="shared" si="109"/>
        <v>0</v>
      </c>
    </row>
    <row r="1155" spans="3:16">
      <c r="C1155" s="548">
        <f>IF(D1132="","-",+C1154+1)</f>
        <v>2038</v>
      </c>
      <c r="D1155" s="506">
        <f t="shared" si="110"/>
        <v>2444729.0698148152</v>
      </c>
      <c r="E1155" s="549">
        <f t="shared" si="111"/>
        <v>126451.50361111111</v>
      </c>
      <c r="F1155" s="549">
        <f t="shared" si="104"/>
        <v>2318277.5662037041</v>
      </c>
      <c r="G1155" s="506">
        <f t="shared" si="105"/>
        <v>2381503.3180092596</v>
      </c>
      <c r="H1155" s="554">
        <f>+J1133*G1155+E1155</f>
        <v>389194.66890318855</v>
      </c>
      <c r="I1155" s="555">
        <f>+J1134*G1155+E1155</f>
        <v>389194.66890318855</v>
      </c>
      <c r="J1155" s="552">
        <f t="shared" si="106"/>
        <v>0</v>
      </c>
      <c r="K1155" s="552"/>
      <c r="L1155" s="572"/>
      <c r="M1155" s="552">
        <f t="shared" si="107"/>
        <v>0</v>
      </c>
      <c r="N1155" s="572"/>
      <c r="O1155" s="552">
        <f t="shared" si="108"/>
        <v>0</v>
      </c>
      <c r="P1155" s="552">
        <f t="shared" si="109"/>
        <v>0</v>
      </c>
    </row>
    <row r="1156" spans="3:16">
      <c r="C1156" s="548">
        <f>IF(D1132="","-",+C1155+1)</f>
        <v>2039</v>
      </c>
      <c r="D1156" s="506">
        <f t="shared" si="110"/>
        <v>2318277.5662037041</v>
      </c>
      <c r="E1156" s="549">
        <f t="shared" si="111"/>
        <v>126451.50361111111</v>
      </c>
      <c r="F1156" s="549">
        <f t="shared" si="104"/>
        <v>2191826.062592593</v>
      </c>
      <c r="G1156" s="506">
        <f t="shared" si="105"/>
        <v>2255051.8143981486</v>
      </c>
      <c r="H1156" s="554">
        <f>+J1133*G1156+E1156</f>
        <v>375243.70437440567</v>
      </c>
      <c r="I1156" s="555">
        <f>+J1134*G1156+E1156</f>
        <v>375243.70437440567</v>
      </c>
      <c r="J1156" s="552">
        <f t="shared" si="106"/>
        <v>0</v>
      </c>
      <c r="K1156" s="552"/>
      <c r="L1156" s="572"/>
      <c r="M1156" s="552">
        <f t="shared" si="107"/>
        <v>0</v>
      </c>
      <c r="N1156" s="572"/>
      <c r="O1156" s="552">
        <f t="shared" si="108"/>
        <v>0</v>
      </c>
      <c r="P1156" s="552">
        <f t="shared" si="109"/>
        <v>0</v>
      </c>
    </row>
    <row r="1157" spans="3:16">
      <c r="C1157" s="548">
        <f>IF(D1132="","-",+C1156+1)</f>
        <v>2040</v>
      </c>
      <c r="D1157" s="506">
        <f t="shared" si="110"/>
        <v>2191826.062592593</v>
      </c>
      <c r="E1157" s="549">
        <f t="shared" si="111"/>
        <v>126451.50361111111</v>
      </c>
      <c r="F1157" s="549">
        <f t="shared" si="104"/>
        <v>2065374.5589814819</v>
      </c>
      <c r="G1157" s="506">
        <f t="shared" si="105"/>
        <v>2128600.3107870375</v>
      </c>
      <c r="H1157" s="554">
        <f>+J1133*G1157+E1157</f>
        <v>361292.7398456228</v>
      </c>
      <c r="I1157" s="555">
        <f>+J1134*G1157+E1157</f>
        <v>361292.7398456228</v>
      </c>
      <c r="J1157" s="552">
        <f t="shared" si="106"/>
        <v>0</v>
      </c>
      <c r="K1157" s="552"/>
      <c r="L1157" s="572"/>
      <c r="M1157" s="552">
        <f t="shared" si="107"/>
        <v>0</v>
      </c>
      <c r="N1157" s="572"/>
      <c r="O1157" s="552">
        <f t="shared" si="108"/>
        <v>0</v>
      </c>
      <c r="P1157" s="552">
        <f t="shared" si="109"/>
        <v>0</v>
      </c>
    </row>
    <row r="1158" spans="3:16">
      <c r="C1158" s="548">
        <f>IF(D1132="","-",+C1157+1)</f>
        <v>2041</v>
      </c>
      <c r="D1158" s="506">
        <f t="shared" si="110"/>
        <v>2065374.5589814819</v>
      </c>
      <c r="E1158" s="549">
        <f t="shared" si="111"/>
        <v>126451.50361111111</v>
      </c>
      <c r="F1158" s="549">
        <f t="shared" si="104"/>
        <v>1938923.0553703709</v>
      </c>
      <c r="G1158" s="506">
        <f t="shared" si="105"/>
        <v>2002148.8071759264</v>
      </c>
      <c r="H1158" s="554">
        <f>+J1133*G1158+E1158</f>
        <v>347341.77531683992</v>
      </c>
      <c r="I1158" s="555">
        <f>+J1134*G1158+E1158</f>
        <v>347341.77531683992</v>
      </c>
      <c r="J1158" s="552">
        <f t="shared" si="106"/>
        <v>0</v>
      </c>
      <c r="K1158" s="552"/>
      <c r="L1158" s="572"/>
      <c r="M1158" s="552">
        <f t="shared" si="107"/>
        <v>0</v>
      </c>
      <c r="N1158" s="572"/>
      <c r="O1158" s="552">
        <f t="shared" si="108"/>
        <v>0</v>
      </c>
      <c r="P1158" s="552">
        <f t="shared" si="109"/>
        <v>0</v>
      </c>
    </row>
    <row r="1159" spans="3:16">
      <c r="C1159" s="548">
        <f>IF(D1132="","-",+C1158+1)</f>
        <v>2042</v>
      </c>
      <c r="D1159" s="506">
        <f t="shared" si="110"/>
        <v>1938923.0553703709</v>
      </c>
      <c r="E1159" s="549">
        <f t="shared" si="111"/>
        <v>126451.50361111111</v>
      </c>
      <c r="F1159" s="549">
        <f t="shared" si="104"/>
        <v>1812471.5517592598</v>
      </c>
      <c r="G1159" s="506">
        <f t="shared" si="105"/>
        <v>1875697.3035648153</v>
      </c>
      <c r="H1159" s="554">
        <f>+J1133*G1159+E1159</f>
        <v>333390.81078805705</v>
      </c>
      <c r="I1159" s="555">
        <f>+J1134*G1159+E1159</f>
        <v>333390.81078805705</v>
      </c>
      <c r="J1159" s="552">
        <f t="shared" si="106"/>
        <v>0</v>
      </c>
      <c r="K1159" s="552"/>
      <c r="L1159" s="572"/>
      <c r="M1159" s="552">
        <f t="shared" si="107"/>
        <v>0</v>
      </c>
      <c r="N1159" s="572"/>
      <c r="O1159" s="552">
        <f t="shared" si="108"/>
        <v>0</v>
      </c>
      <c r="P1159" s="552">
        <f t="shared" si="109"/>
        <v>0</v>
      </c>
    </row>
    <row r="1160" spans="3:16">
      <c r="C1160" s="548">
        <f>IF(D1132="","-",+C1159+1)</f>
        <v>2043</v>
      </c>
      <c r="D1160" s="506">
        <f t="shared" si="110"/>
        <v>1812471.5517592598</v>
      </c>
      <c r="E1160" s="549">
        <f t="shared" si="111"/>
        <v>126451.50361111111</v>
      </c>
      <c r="F1160" s="549">
        <f t="shared" si="104"/>
        <v>1686020.0481481487</v>
      </c>
      <c r="G1160" s="506">
        <f t="shared" si="105"/>
        <v>1749245.7999537042</v>
      </c>
      <c r="H1160" s="554">
        <f>+J1133*G1160+E1160</f>
        <v>319439.84625927423</v>
      </c>
      <c r="I1160" s="555">
        <f>+J1134*G1160+E1160</f>
        <v>319439.84625927423</v>
      </c>
      <c r="J1160" s="552">
        <f t="shared" si="106"/>
        <v>0</v>
      </c>
      <c r="K1160" s="552"/>
      <c r="L1160" s="572"/>
      <c r="M1160" s="552">
        <f t="shared" si="107"/>
        <v>0</v>
      </c>
      <c r="N1160" s="572"/>
      <c r="O1160" s="552">
        <f t="shared" si="108"/>
        <v>0</v>
      </c>
      <c r="P1160" s="552">
        <f t="shared" si="109"/>
        <v>0</v>
      </c>
    </row>
    <row r="1161" spans="3:16">
      <c r="C1161" s="548">
        <f>IF(D1132="","-",+C1160+1)</f>
        <v>2044</v>
      </c>
      <c r="D1161" s="506">
        <f t="shared" si="110"/>
        <v>1686020.0481481487</v>
      </c>
      <c r="E1161" s="549">
        <f t="shared" si="111"/>
        <v>126451.50361111111</v>
      </c>
      <c r="F1161" s="549">
        <f t="shared" si="104"/>
        <v>1559568.5445370376</v>
      </c>
      <c r="G1161" s="506">
        <f t="shared" si="105"/>
        <v>1622794.2963425932</v>
      </c>
      <c r="H1161" s="554">
        <f>+J1133*G1161+E1161</f>
        <v>305488.88173049135</v>
      </c>
      <c r="I1161" s="555">
        <f>+J1134*G1161+E1161</f>
        <v>305488.88173049135</v>
      </c>
      <c r="J1161" s="552">
        <f t="shared" si="106"/>
        <v>0</v>
      </c>
      <c r="K1161" s="552"/>
      <c r="L1161" s="572"/>
      <c r="M1161" s="552">
        <f t="shared" si="107"/>
        <v>0</v>
      </c>
      <c r="N1161" s="572"/>
      <c r="O1161" s="552">
        <f t="shared" si="108"/>
        <v>0</v>
      </c>
      <c r="P1161" s="552">
        <f t="shared" si="109"/>
        <v>0</v>
      </c>
    </row>
    <row r="1162" spans="3:16">
      <c r="C1162" s="548">
        <f>IF(D1132="","-",+C1161+1)</f>
        <v>2045</v>
      </c>
      <c r="D1162" s="506">
        <f t="shared" si="110"/>
        <v>1559568.5445370376</v>
      </c>
      <c r="E1162" s="549">
        <f t="shared" si="111"/>
        <v>126451.50361111111</v>
      </c>
      <c r="F1162" s="549">
        <f t="shared" si="104"/>
        <v>1433117.0409259265</v>
      </c>
      <c r="G1162" s="506">
        <f t="shared" si="105"/>
        <v>1496342.7927314821</v>
      </c>
      <c r="H1162" s="554">
        <f>+J1133*G1162+E1162</f>
        <v>291537.91720170848</v>
      </c>
      <c r="I1162" s="555">
        <f>+J1134*G1162+E1162</f>
        <v>291537.91720170848</v>
      </c>
      <c r="J1162" s="552">
        <f t="shared" si="106"/>
        <v>0</v>
      </c>
      <c r="K1162" s="552"/>
      <c r="L1162" s="572"/>
      <c r="M1162" s="552">
        <f t="shared" si="107"/>
        <v>0</v>
      </c>
      <c r="N1162" s="572"/>
      <c r="O1162" s="552">
        <f t="shared" si="108"/>
        <v>0</v>
      </c>
      <c r="P1162" s="552">
        <f t="shared" si="109"/>
        <v>0</v>
      </c>
    </row>
    <row r="1163" spans="3:16">
      <c r="C1163" s="548">
        <f>IF(D1132="","-",+C1162+1)</f>
        <v>2046</v>
      </c>
      <c r="D1163" s="506">
        <f t="shared" si="110"/>
        <v>1433117.0409259265</v>
      </c>
      <c r="E1163" s="549">
        <f t="shared" si="111"/>
        <v>126451.50361111111</v>
      </c>
      <c r="F1163" s="549">
        <f t="shared" si="104"/>
        <v>1306665.5373148154</v>
      </c>
      <c r="G1163" s="506">
        <f t="shared" si="105"/>
        <v>1369891.289120371</v>
      </c>
      <c r="H1163" s="554">
        <f>+J1133*G1163+E1163</f>
        <v>277586.9526729256</v>
      </c>
      <c r="I1163" s="555">
        <f>+J1134*G1163+E1163</f>
        <v>277586.9526729256</v>
      </c>
      <c r="J1163" s="552">
        <f t="shared" si="106"/>
        <v>0</v>
      </c>
      <c r="K1163" s="552"/>
      <c r="L1163" s="572"/>
      <c r="M1163" s="552">
        <f t="shared" si="107"/>
        <v>0</v>
      </c>
      <c r="N1163" s="572"/>
      <c r="O1163" s="552">
        <f t="shared" si="108"/>
        <v>0</v>
      </c>
      <c r="P1163" s="552">
        <f t="shared" si="109"/>
        <v>0</v>
      </c>
    </row>
    <row r="1164" spans="3:16">
      <c r="C1164" s="548">
        <f>IF(D1132="","-",+C1163+1)</f>
        <v>2047</v>
      </c>
      <c r="D1164" s="506">
        <f t="shared" si="110"/>
        <v>1306665.5373148154</v>
      </c>
      <c r="E1164" s="549">
        <f t="shared" si="111"/>
        <v>126451.50361111111</v>
      </c>
      <c r="F1164" s="549">
        <f t="shared" si="104"/>
        <v>1180214.0337037044</v>
      </c>
      <c r="G1164" s="506">
        <f t="shared" si="105"/>
        <v>1243439.7855092599</v>
      </c>
      <c r="H1164" s="554">
        <f>+J1133*G1164+E1164</f>
        <v>263635.98814414279</v>
      </c>
      <c r="I1164" s="555">
        <f>+J1134*G1164+E1164</f>
        <v>263635.98814414279</v>
      </c>
      <c r="J1164" s="552">
        <f t="shared" si="106"/>
        <v>0</v>
      </c>
      <c r="K1164" s="552"/>
      <c r="L1164" s="572"/>
      <c r="M1164" s="552">
        <f t="shared" si="107"/>
        <v>0</v>
      </c>
      <c r="N1164" s="572"/>
      <c r="O1164" s="552">
        <f t="shared" si="108"/>
        <v>0</v>
      </c>
      <c r="P1164" s="552">
        <f t="shared" si="109"/>
        <v>0</v>
      </c>
    </row>
    <row r="1165" spans="3:16">
      <c r="C1165" s="548">
        <f>IF(D1132="","-",+C1164+1)</f>
        <v>2048</v>
      </c>
      <c r="D1165" s="506">
        <f t="shared" si="110"/>
        <v>1180214.0337037044</v>
      </c>
      <c r="E1165" s="549">
        <f t="shared" si="111"/>
        <v>126451.50361111111</v>
      </c>
      <c r="F1165" s="549">
        <f t="shared" si="104"/>
        <v>1053762.5300925933</v>
      </c>
      <c r="G1165" s="506">
        <f t="shared" si="105"/>
        <v>1116988.2818981488</v>
      </c>
      <c r="H1165" s="554">
        <f>+J1133*G1165+E1165</f>
        <v>249685.02361535988</v>
      </c>
      <c r="I1165" s="555">
        <f>+J1134*G1165+E1165</f>
        <v>249685.02361535988</v>
      </c>
      <c r="J1165" s="552">
        <f t="shared" si="106"/>
        <v>0</v>
      </c>
      <c r="K1165" s="552"/>
      <c r="L1165" s="572"/>
      <c r="M1165" s="552">
        <f t="shared" si="107"/>
        <v>0</v>
      </c>
      <c r="N1165" s="572"/>
      <c r="O1165" s="552">
        <f t="shared" si="108"/>
        <v>0</v>
      </c>
      <c r="P1165" s="552">
        <f t="shared" si="109"/>
        <v>0</v>
      </c>
    </row>
    <row r="1166" spans="3:16">
      <c r="C1166" s="548">
        <f>IF(D1132="","-",+C1165+1)</f>
        <v>2049</v>
      </c>
      <c r="D1166" s="506">
        <f t="shared" si="110"/>
        <v>1053762.5300925933</v>
      </c>
      <c r="E1166" s="549">
        <f t="shared" si="111"/>
        <v>126451.50361111111</v>
      </c>
      <c r="F1166" s="549">
        <f t="shared" si="104"/>
        <v>927311.0264814822</v>
      </c>
      <c r="G1166" s="506">
        <f t="shared" si="105"/>
        <v>990536.77828703774</v>
      </c>
      <c r="H1166" s="554">
        <f>+J1133*G1166+E1166</f>
        <v>235734.05908657701</v>
      </c>
      <c r="I1166" s="555">
        <f>+J1134*G1166+E1166</f>
        <v>235734.05908657701</v>
      </c>
      <c r="J1166" s="552">
        <f t="shared" si="106"/>
        <v>0</v>
      </c>
      <c r="K1166" s="552"/>
      <c r="L1166" s="572"/>
      <c r="M1166" s="552">
        <f t="shared" si="107"/>
        <v>0</v>
      </c>
      <c r="N1166" s="572"/>
      <c r="O1166" s="552">
        <f t="shared" si="108"/>
        <v>0</v>
      </c>
      <c r="P1166" s="552">
        <f t="shared" si="109"/>
        <v>0</v>
      </c>
    </row>
    <row r="1167" spans="3:16">
      <c r="C1167" s="548">
        <f>IF(D1132="","-",+C1166+1)</f>
        <v>2050</v>
      </c>
      <c r="D1167" s="506">
        <f t="shared" si="110"/>
        <v>927311.0264814822</v>
      </c>
      <c r="E1167" s="549">
        <f t="shared" si="111"/>
        <v>126451.50361111111</v>
      </c>
      <c r="F1167" s="549">
        <f t="shared" si="104"/>
        <v>800859.52287037112</v>
      </c>
      <c r="G1167" s="506">
        <f t="shared" si="105"/>
        <v>864085.27467592666</v>
      </c>
      <c r="H1167" s="554">
        <f>+J1133*G1167+E1167</f>
        <v>221783.09455779416</v>
      </c>
      <c r="I1167" s="555">
        <f>+J1134*G1167+E1167</f>
        <v>221783.09455779416</v>
      </c>
      <c r="J1167" s="552">
        <f t="shared" si="106"/>
        <v>0</v>
      </c>
      <c r="K1167" s="552"/>
      <c r="L1167" s="572"/>
      <c r="M1167" s="552">
        <f t="shared" si="107"/>
        <v>0</v>
      </c>
      <c r="N1167" s="572"/>
      <c r="O1167" s="552">
        <f t="shared" si="108"/>
        <v>0</v>
      </c>
      <c r="P1167" s="552">
        <f t="shared" si="109"/>
        <v>0</v>
      </c>
    </row>
    <row r="1168" spans="3:16">
      <c r="C1168" s="548">
        <f>IF(D1132="","-",+C1167+1)</f>
        <v>2051</v>
      </c>
      <c r="D1168" s="506">
        <f t="shared" si="110"/>
        <v>800859.52287037112</v>
      </c>
      <c r="E1168" s="549">
        <f t="shared" si="111"/>
        <v>126451.50361111111</v>
      </c>
      <c r="F1168" s="549">
        <f t="shared" si="104"/>
        <v>674408.01925926004</v>
      </c>
      <c r="G1168" s="506">
        <f t="shared" si="105"/>
        <v>737633.77106481558</v>
      </c>
      <c r="H1168" s="554">
        <f>+J1133*G1168+E1168</f>
        <v>207832.13002901128</v>
      </c>
      <c r="I1168" s="555">
        <f>+J1134*G1168+E1168</f>
        <v>207832.13002901128</v>
      </c>
      <c r="J1168" s="552">
        <f t="shared" si="106"/>
        <v>0</v>
      </c>
      <c r="K1168" s="552"/>
      <c r="L1168" s="572"/>
      <c r="M1168" s="552">
        <f t="shared" si="107"/>
        <v>0</v>
      </c>
      <c r="N1168" s="572"/>
      <c r="O1168" s="552">
        <f t="shared" si="108"/>
        <v>0</v>
      </c>
      <c r="P1168" s="552">
        <f t="shared" si="109"/>
        <v>0</v>
      </c>
    </row>
    <row r="1169" spans="3:16">
      <c r="C1169" s="548">
        <f>IF(D1132="","-",+C1168+1)</f>
        <v>2052</v>
      </c>
      <c r="D1169" s="506">
        <f t="shared" si="110"/>
        <v>674408.01925926004</v>
      </c>
      <c r="E1169" s="549">
        <f t="shared" si="111"/>
        <v>126451.50361111111</v>
      </c>
      <c r="F1169" s="549">
        <f t="shared" si="104"/>
        <v>547956.51564814895</v>
      </c>
      <c r="G1169" s="506">
        <f t="shared" si="105"/>
        <v>611182.26745370449</v>
      </c>
      <c r="H1169" s="554">
        <f>+J1133*G1169+E1169</f>
        <v>193881.16550022841</v>
      </c>
      <c r="I1169" s="555">
        <f>+J1134*G1169+E1169</f>
        <v>193881.16550022841</v>
      </c>
      <c r="J1169" s="552">
        <f t="shared" si="106"/>
        <v>0</v>
      </c>
      <c r="K1169" s="552"/>
      <c r="L1169" s="572"/>
      <c r="M1169" s="552">
        <f t="shared" si="107"/>
        <v>0</v>
      </c>
      <c r="N1169" s="572"/>
      <c r="O1169" s="552">
        <f t="shared" si="108"/>
        <v>0</v>
      </c>
      <c r="P1169" s="552">
        <f t="shared" si="109"/>
        <v>0</v>
      </c>
    </row>
    <row r="1170" spans="3:16">
      <c r="C1170" s="548">
        <f>IF(D1132="","-",+C1169+1)</f>
        <v>2053</v>
      </c>
      <c r="D1170" s="506">
        <f t="shared" si="110"/>
        <v>547956.51564814895</v>
      </c>
      <c r="E1170" s="549">
        <f t="shared" si="111"/>
        <v>126451.50361111111</v>
      </c>
      <c r="F1170" s="549">
        <f t="shared" si="104"/>
        <v>421505.01203703787</v>
      </c>
      <c r="G1170" s="506">
        <f t="shared" si="105"/>
        <v>484730.76384259341</v>
      </c>
      <c r="H1170" s="554">
        <f>+J1133*G1170+E1170</f>
        <v>179930.20097144553</v>
      </c>
      <c r="I1170" s="555">
        <f>+J1134*G1170+E1170</f>
        <v>179930.20097144553</v>
      </c>
      <c r="J1170" s="552">
        <f t="shared" si="106"/>
        <v>0</v>
      </c>
      <c r="K1170" s="552"/>
      <c r="L1170" s="572"/>
      <c r="M1170" s="552">
        <f t="shared" si="107"/>
        <v>0</v>
      </c>
      <c r="N1170" s="572"/>
      <c r="O1170" s="552">
        <f t="shared" si="108"/>
        <v>0</v>
      </c>
      <c r="P1170" s="552">
        <f t="shared" si="109"/>
        <v>0</v>
      </c>
    </row>
    <row r="1171" spans="3:16">
      <c r="C1171" s="548">
        <f>IF(D1132="","-",+C1170+1)</f>
        <v>2054</v>
      </c>
      <c r="D1171" s="506">
        <f t="shared" si="110"/>
        <v>421505.01203703787</v>
      </c>
      <c r="E1171" s="549">
        <f t="shared" si="111"/>
        <v>126451.50361111111</v>
      </c>
      <c r="F1171" s="549">
        <f t="shared" si="104"/>
        <v>295053.50842592679</v>
      </c>
      <c r="G1171" s="506">
        <f t="shared" si="105"/>
        <v>358279.26023148233</v>
      </c>
      <c r="H1171" s="554">
        <f>+J1133*G1171+E1171</f>
        <v>165979.23644266266</v>
      </c>
      <c r="I1171" s="555">
        <f>+J1134*G1171+E1171</f>
        <v>165979.23644266266</v>
      </c>
      <c r="J1171" s="552">
        <f t="shared" si="106"/>
        <v>0</v>
      </c>
      <c r="K1171" s="552"/>
      <c r="L1171" s="572"/>
      <c r="M1171" s="552">
        <f t="shared" si="107"/>
        <v>0</v>
      </c>
      <c r="N1171" s="572"/>
      <c r="O1171" s="552">
        <f t="shared" si="108"/>
        <v>0</v>
      </c>
      <c r="P1171" s="552">
        <f t="shared" si="109"/>
        <v>0</v>
      </c>
    </row>
    <row r="1172" spans="3:16">
      <c r="C1172" s="548">
        <f>IF(D1132="","-",+C1171+1)</f>
        <v>2055</v>
      </c>
      <c r="D1172" s="506">
        <f t="shared" si="110"/>
        <v>295053.50842592679</v>
      </c>
      <c r="E1172" s="549">
        <f t="shared" si="111"/>
        <v>126451.50361111111</v>
      </c>
      <c r="F1172" s="549">
        <f t="shared" si="104"/>
        <v>168602.00481481568</v>
      </c>
      <c r="G1172" s="506">
        <f t="shared" si="105"/>
        <v>231827.75662037125</v>
      </c>
      <c r="H1172" s="554">
        <f>+J1133*G1172+E1172</f>
        <v>152028.27191387981</v>
      </c>
      <c r="I1172" s="555">
        <f>+J1134*G1172+E1172</f>
        <v>152028.27191387981</v>
      </c>
      <c r="J1172" s="552">
        <f t="shared" si="106"/>
        <v>0</v>
      </c>
      <c r="K1172" s="552"/>
      <c r="L1172" s="572"/>
      <c r="M1172" s="552">
        <f t="shared" si="107"/>
        <v>0</v>
      </c>
      <c r="N1172" s="572"/>
      <c r="O1172" s="552">
        <f t="shared" si="108"/>
        <v>0</v>
      </c>
      <c r="P1172" s="552">
        <f t="shared" si="109"/>
        <v>0</v>
      </c>
    </row>
    <row r="1173" spans="3:16">
      <c r="C1173" s="548">
        <f>IF(D1132="","-",+C1172+1)</f>
        <v>2056</v>
      </c>
      <c r="D1173" s="506">
        <f t="shared" si="110"/>
        <v>168602.00481481568</v>
      </c>
      <c r="E1173" s="549">
        <f t="shared" si="111"/>
        <v>126451.50361111111</v>
      </c>
      <c r="F1173" s="549">
        <f t="shared" si="104"/>
        <v>42150.501203704567</v>
      </c>
      <c r="G1173" s="506">
        <f t="shared" si="105"/>
        <v>105376.25300926012</v>
      </c>
      <c r="H1173" s="554">
        <f>+J1133*G1173+E1173</f>
        <v>138077.30738509694</v>
      </c>
      <c r="I1173" s="555">
        <f>+J1134*G1173+E1173</f>
        <v>138077.30738509694</v>
      </c>
      <c r="J1173" s="552">
        <f t="shared" si="106"/>
        <v>0</v>
      </c>
      <c r="K1173" s="552"/>
      <c r="L1173" s="572"/>
      <c r="M1173" s="552">
        <f t="shared" si="107"/>
        <v>0</v>
      </c>
      <c r="N1173" s="572"/>
      <c r="O1173" s="552">
        <f t="shared" si="108"/>
        <v>0</v>
      </c>
      <c r="P1173" s="552">
        <f t="shared" si="109"/>
        <v>0</v>
      </c>
    </row>
    <row r="1174" spans="3:16">
      <c r="C1174" s="548">
        <f>IF(D1132="","-",+C1173+1)</f>
        <v>2057</v>
      </c>
      <c r="D1174" s="506">
        <f t="shared" si="110"/>
        <v>42150.501203704567</v>
      </c>
      <c r="E1174" s="549">
        <f t="shared" si="111"/>
        <v>42150.501203704567</v>
      </c>
      <c r="F1174" s="549">
        <f t="shared" si="104"/>
        <v>0</v>
      </c>
      <c r="G1174" s="506">
        <f t="shared" si="105"/>
        <v>21075.250601852284</v>
      </c>
      <c r="H1174" s="554">
        <f>+J1133*G1174+E1174</f>
        <v>44475.661958501762</v>
      </c>
      <c r="I1174" s="555">
        <f>+J1134*G1174+E1174</f>
        <v>44475.661958501762</v>
      </c>
      <c r="J1174" s="552">
        <f t="shared" si="106"/>
        <v>0</v>
      </c>
      <c r="K1174" s="552"/>
      <c r="L1174" s="572"/>
      <c r="M1174" s="552">
        <f t="shared" si="107"/>
        <v>0</v>
      </c>
      <c r="N1174" s="572"/>
      <c r="O1174" s="552">
        <f t="shared" si="108"/>
        <v>0</v>
      </c>
      <c r="P1174" s="552">
        <f t="shared" si="109"/>
        <v>0</v>
      </c>
    </row>
    <row r="1175" spans="3:16">
      <c r="C1175" s="548">
        <f>IF(D1132="","-",+C1174+1)</f>
        <v>2058</v>
      </c>
      <c r="D1175" s="506">
        <f t="shared" si="110"/>
        <v>0</v>
      </c>
      <c r="E1175" s="549">
        <f t="shared" si="111"/>
        <v>0</v>
      </c>
      <c r="F1175" s="549">
        <f t="shared" si="104"/>
        <v>0</v>
      </c>
      <c r="G1175" s="506">
        <f t="shared" si="105"/>
        <v>0</v>
      </c>
      <c r="H1175" s="554">
        <f>+J1133*G1175+E1175</f>
        <v>0</v>
      </c>
      <c r="I1175" s="555">
        <f>+J1134*G1175+E1175</f>
        <v>0</v>
      </c>
      <c r="J1175" s="552">
        <f t="shared" si="106"/>
        <v>0</v>
      </c>
      <c r="K1175" s="552"/>
      <c r="L1175" s="572"/>
      <c r="M1175" s="552">
        <f t="shared" si="107"/>
        <v>0</v>
      </c>
      <c r="N1175" s="572"/>
      <c r="O1175" s="552">
        <f t="shared" si="108"/>
        <v>0</v>
      </c>
      <c r="P1175" s="552">
        <f t="shared" si="109"/>
        <v>0</v>
      </c>
    </row>
    <row r="1176" spans="3:16">
      <c r="C1176" s="548">
        <f>IF(D1132="","-",+C1175+1)</f>
        <v>2059</v>
      </c>
      <c r="D1176" s="506">
        <f t="shared" si="110"/>
        <v>0</v>
      </c>
      <c r="E1176" s="549">
        <f t="shared" si="111"/>
        <v>0</v>
      </c>
      <c r="F1176" s="549">
        <f t="shared" si="104"/>
        <v>0</v>
      </c>
      <c r="G1176" s="506">
        <f t="shared" si="105"/>
        <v>0</v>
      </c>
      <c r="H1176" s="554">
        <f>+J1133*G1176+E1176</f>
        <v>0</v>
      </c>
      <c r="I1176" s="555">
        <f>+J1134*G1176+E1176</f>
        <v>0</v>
      </c>
      <c r="J1176" s="552">
        <f t="shared" si="106"/>
        <v>0</v>
      </c>
      <c r="K1176" s="552"/>
      <c r="L1176" s="572"/>
      <c r="M1176" s="552">
        <f t="shared" si="107"/>
        <v>0</v>
      </c>
      <c r="N1176" s="572"/>
      <c r="O1176" s="552">
        <f t="shared" si="108"/>
        <v>0</v>
      </c>
      <c r="P1176" s="552">
        <f t="shared" si="109"/>
        <v>0</v>
      </c>
    </row>
    <row r="1177" spans="3:16">
      <c r="C1177" s="548">
        <f>IF(D1132="","-",+C1176+1)</f>
        <v>2060</v>
      </c>
      <c r="D1177" s="506">
        <f t="shared" si="110"/>
        <v>0</v>
      </c>
      <c r="E1177" s="549">
        <f t="shared" si="111"/>
        <v>0</v>
      </c>
      <c r="F1177" s="549">
        <f t="shared" si="104"/>
        <v>0</v>
      </c>
      <c r="G1177" s="506">
        <f t="shared" si="105"/>
        <v>0</v>
      </c>
      <c r="H1177" s="554">
        <f>+J1133*G1177+E1177</f>
        <v>0</v>
      </c>
      <c r="I1177" s="555">
        <f>+J1134*G1177+E1177</f>
        <v>0</v>
      </c>
      <c r="J1177" s="552">
        <f t="shared" si="106"/>
        <v>0</v>
      </c>
      <c r="K1177" s="552"/>
      <c r="L1177" s="572"/>
      <c r="M1177" s="552">
        <f t="shared" si="107"/>
        <v>0</v>
      </c>
      <c r="N1177" s="572"/>
      <c r="O1177" s="552">
        <f t="shared" si="108"/>
        <v>0</v>
      </c>
      <c r="P1177" s="552">
        <f t="shared" si="109"/>
        <v>0</v>
      </c>
    </row>
    <row r="1178" spans="3:16">
      <c r="C1178" s="548">
        <f>IF(D1132="","-",+C1177+1)</f>
        <v>2061</v>
      </c>
      <c r="D1178" s="506">
        <f t="shared" si="110"/>
        <v>0</v>
      </c>
      <c r="E1178" s="549">
        <f t="shared" si="111"/>
        <v>0</v>
      </c>
      <c r="F1178" s="549">
        <f t="shared" si="104"/>
        <v>0</v>
      </c>
      <c r="G1178" s="506">
        <f t="shared" si="105"/>
        <v>0</v>
      </c>
      <c r="H1178" s="554">
        <f>+J1133*G1178+E1178</f>
        <v>0</v>
      </c>
      <c r="I1178" s="555">
        <f>+J1134*G1178+E1178</f>
        <v>0</v>
      </c>
      <c r="J1178" s="552">
        <f t="shared" si="106"/>
        <v>0</v>
      </c>
      <c r="K1178" s="552"/>
      <c r="L1178" s="572"/>
      <c r="M1178" s="552">
        <f t="shared" si="107"/>
        <v>0</v>
      </c>
      <c r="N1178" s="572"/>
      <c r="O1178" s="552">
        <f t="shared" si="108"/>
        <v>0</v>
      </c>
      <c r="P1178" s="552">
        <f t="shared" si="109"/>
        <v>0</v>
      </c>
    </row>
    <row r="1179" spans="3:16">
      <c r="C1179" s="548">
        <f>IF(D1132="","-",+C1178+1)</f>
        <v>2062</v>
      </c>
      <c r="D1179" s="506">
        <f t="shared" si="110"/>
        <v>0</v>
      </c>
      <c r="E1179" s="549">
        <f t="shared" si="111"/>
        <v>0</v>
      </c>
      <c r="F1179" s="549">
        <f t="shared" si="104"/>
        <v>0</v>
      </c>
      <c r="G1179" s="506">
        <f t="shared" si="105"/>
        <v>0</v>
      </c>
      <c r="H1179" s="554">
        <f>+J1133*G1179+E1179</f>
        <v>0</v>
      </c>
      <c r="I1179" s="555">
        <f>+J1134*G1179+E1179</f>
        <v>0</v>
      </c>
      <c r="J1179" s="552">
        <f t="shared" si="106"/>
        <v>0</v>
      </c>
      <c r="K1179" s="552"/>
      <c r="L1179" s="572"/>
      <c r="M1179" s="552">
        <f t="shared" si="107"/>
        <v>0</v>
      </c>
      <c r="N1179" s="572"/>
      <c r="O1179" s="552">
        <f t="shared" si="108"/>
        <v>0</v>
      </c>
      <c r="P1179" s="552">
        <f t="shared" si="109"/>
        <v>0</v>
      </c>
    </row>
    <row r="1180" spans="3:16">
      <c r="C1180" s="548">
        <f>IF(D1132="","-",+C1179+1)</f>
        <v>2063</v>
      </c>
      <c r="D1180" s="506">
        <f t="shared" si="110"/>
        <v>0</v>
      </c>
      <c r="E1180" s="549">
        <f t="shared" si="111"/>
        <v>0</v>
      </c>
      <c r="F1180" s="549">
        <f t="shared" si="104"/>
        <v>0</v>
      </c>
      <c r="G1180" s="506">
        <f t="shared" si="105"/>
        <v>0</v>
      </c>
      <c r="H1180" s="554">
        <f>+J1133*G1180+E1180</f>
        <v>0</v>
      </c>
      <c r="I1180" s="555">
        <f>+J1134*G1180+E1180</f>
        <v>0</v>
      </c>
      <c r="J1180" s="552">
        <f t="shared" si="106"/>
        <v>0</v>
      </c>
      <c r="K1180" s="552"/>
      <c r="L1180" s="572"/>
      <c r="M1180" s="552">
        <f t="shared" si="107"/>
        <v>0</v>
      </c>
      <c r="N1180" s="572"/>
      <c r="O1180" s="552">
        <f t="shared" si="108"/>
        <v>0</v>
      </c>
      <c r="P1180" s="552">
        <f t="shared" si="109"/>
        <v>0</v>
      </c>
    </row>
    <row r="1181" spans="3:16">
      <c r="C1181" s="548">
        <f>IF(D1132="","-",+C1180+1)</f>
        <v>2064</v>
      </c>
      <c r="D1181" s="506">
        <f t="shared" si="110"/>
        <v>0</v>
      </c>
      <c r="E1181" s="549">
        <f t="shared" si="111"/>
        <v>0</v>
      </c>
      <c r="F1181" s="549">
        <f t="shared" si="104"/>
        <v>0</v>
      </c>
      <c r="G1181" s="506">
        <f t="shared" si="105"/>
        <v>0</v>
      </c>
      <c r="H1181" s="554">
        <f>+J1133*G1181+E1181</f>
        <v>0</v>
      </c>
      <c r="I1181" s="555">
        <f>+J1134*G1181+E1181</f>
        <v>0</v>
      </c>
      <c r="J1181" s="552">
        <f t="shared" si="106"/>
        <v>0</v>
      </c>
      <c r="K1181" s="552"/>
      <c r="L1181" s="572"/>
      <c r="M1181" s="552">
        <f t="shared" si="107"/>
        <v>0</v>
      </c>
      <c r="N1181" s="572"/>
      <c r="O1181" s="552">
        <f t="shared" si="108"/>
        <v>0</v>
      </c>
      <c r="P1181" s="552">
        <f t="shared" si="109"/>
        <v>0</v>
      </c>
    </row>
    <row r="1182" spans="3:16">
      <c r="C1182" s="548">
        <f>IF(D1132="","-",+C1181+1)</f>
        <v>2065</v>
      </c>
      <c r="D1182" s="506">
        <f t="shared" si="110"/>
        <v>0</v>
      </c>
      <c r="E1182" s="549">
        <f t="shared" si="111"/>
        <v>0</v>
      </c>
      <c r="F1182" s="549">
        <f t="shared" si="104"/>
        <v>0</v>
      </c>
      <c r="G1182" s="506">
        <f t="shared" si="105"/>
        <v>0</v>
      </c>
      <c r="H1182" s="554">
        <f>+J1133*G1182+E1182</f>
        <v>0</v>
      </c>
      <c r="I1182" s="555">
        <f>+J1134*G1182+E1182</f>
        <v>0</v>
      </c>
      <c r="J1182" s="552">
        <f t="shared" si="106"/>
        <v>0</v>
      </c>
      <c r="K1182" s="552"/>
      <c r="L1182" s="572"/>
      <c r="M1182" s="552">
        <f t="shared" si="107"/>
        <v>0</v>
      </c>
      <c r="N1182" s="572"/>
      <c r="O1182" s="552">
        <f t="shared" si="108"/>
        <v>0</v>
      </c>
      <c r="P1182" s="552">
        <f t="shared" si="109"/>
        <v>0</v>
      </c>
    </row>
    <row r="1183" spans="3:16">
      <c r="C1183" s="548">
        <f>IF(D1132="","-",+C1182+1)</f>
        <v>2066</v>
      </c>
      <c r="D1183" s="506">
        <f t="shared" si="110"/>
        <v>0</v>
      </c>
      <c r="E1183" s="549">
        <f t="shared" si="111"/>
        <v>0</v>
      </c>
      <c r="F1183" s="549">
        <f t="shared" si="104"/>
        <v>0</v>
      </c>
      <c r="G1183" s="506">
        <f t="shared" si="105"/>
        <v>0</v>
      </c>
      <c r="H1183" s="554">
        <f>+J1133*G1183+E1183</f>
        <v>0</v>
      </c>
      <c r="I1183" s="555">
        <f>+J1134*G1183+E1183</f>
        <v>0</v>
      </c>
      <c r="J1183" s="552">
        <f t="shared" si="106"/>
        <v>0</v>
      </c>
      <c r="K1183" s="552"/>
      <c r="L1183" s="572"/>
      <c r="M1183" s="552">
        <f t="shared" si="107"/>
        <v>0</v>
      </c>
      <c r="N1183" s="572"/>
      <c r="O1183" s="552">
        <f t="shared" si="108"/>
        <v>0</v>
      </c>
      <c r="P1183" s="552">
        <f t="shared" si="109"/>
        <v>0</v>
      </c>
    </row>
    <row r="1184" spans="3:16">
      <c r="C1184" s="548">
        <f>IF(D1132="","-",+C1183+1)</f>
        <v>2067</v>
      </c>
      <c r="D1184" s="506">
        <f t="shared" si="110"/>
        <v>0</v>
      </c>
      <c r="E1184" s="549">
        <f t="shared" si="111"/>
        <v>0</v>
      </c>
      <c r="F1184" s="549">
        <f t="shared" si="104"/>
        <v>0</v>
      </c>
      <c r="G1184" s="506">
        <f t="shared" si="105"/>
        <v>0</v>
      </c>
      <c r="H1184" s="554">
        <f>+J1133*G1184+E1184</f>
        <v>0</v>
      </c>
      <c r="I1184" s="555">
        <f>+J1134*G1184+E1184</f>
        <v>0</v>
      </c>
      <c r="J1184" s="552">
        <f t="shared" si="106"/>
        <v>0</v>
      </c>
      <c r="K1184" s="552"/>
      <c r="L1184" s="572"/>
      <c r="M1184" s="552">
        <f t="shared" si="107"/>
        <v>0</v>
      </c>
      <c r="N1184" s="572"/>
      <c r="O1184" s="552">
        <f t="shared" si="108"/>
        <v>0</v>
      </c>
      <c r="P1184" s="552">
        <f t="shared" si="109"/>
        <v>0</v>
      </c>
    </row>
    <row r="1185" spans="3:16">
      <c r="C1185" s="548">
        <f>IF(D1132="","-",+C1184+1)</f>
        <v>2068</v>
      </c>
      <c r="D1185" s="506">
        <f t="shared" si="110"/>
        <v>0</v>
      </c>
      <c r="E1185" s="549">
        <f t="shared" si="111"/>
        <v>0</v>
      </c>
      <c r="F1185" s="549">
        <f t="shared" si="104"/>
        <v>0</v>
      </c>
      <c r="G1185" s="506">
        <f t="shared" si="105"/>
        <v>0</v>
      </c>
      <c r="H1185" s="554">
        <f>+J1133*G1185+E1185</f>
        <v>0</v>
      </c>
      <c r="I1185" s="555">
        <f>+J1134*G1185+E1185</f>
        <v>0</v>
      </c>
      <c r="J1185" s="552">
        <f t="shared" si="106"/>
        <v>0</v>
      </c>
      <c r="K1185" s="552"/>
      <c r="L1185" s="572"/>
      <c r="M1185" s="552">
        <f t="shared" si="107"/>
        <v>0</v>
      </c>
      <c r="N1185" s="572"/>
      <c r="O1185" s="552">
        <f t="shared" si="108"/>
        <v>0</v>
      </c>
      <c r="P1185" s="552">
        <f t="shared" si="109"/>
        <v>0</v>
      </c>
    </row>
    <row r="1186" spans="3:16">
      <c r="C1186" s="548">
        <f>IF(D1132="","-",+C1185+1)</f>
        <v>2069</v>
      </c>
      <c r="D1186" s="506">
        <f t="shared" si="110"/>
        <v>0</v>
      </c>
      <c r="E1186" s="549">
        <f t="shared" si="111"/>
        <v>0</v>
      </c>
      <c r="F1186" s="549">
        <f t="shared" si="104"/>
        <v>0</v>
      </c>
      <c r="G1186" s="506">
        <f t="shared" si="105"/>
        <v>0</v>
      </c>
      <c r="H1186" s="554">
        <f>+J1133*G1186+E1186</f>
        <v>0</v>
      </c>
      <c r="I1186" s="555">
        <f>+J1134*G1186+E1186</f>
        <v>0</v>
      </c>
      <c r="J1186" s="552">
        <f t="shared" si="106"/>
        <v>0</v>
      </c>
      <c r="K1186" s="552"/>
      <c r="L1186" s="572"/>
      <c r="M1186" s="552">
        <f t="shared" si="107"/>
        <v>0</v>
      </c>
      <c r="N1186" s="572"/>
      <c r="O1186" s="552">
        <f t="shared" si="108"/>
        <v>0</v>
      </c>
      <c r="P1186" s="552">
        <f t="shared" si="109"/>
        <v>0</v>
      </c>
    </row>
    <row r="1187" spans="3:16">
      <c r="C1187" s="548">
        <f>IF(D1132="","-",+C1186+1)</f>
        <v>2070</v>
      </c>
      <c r="D1187" s="506">
        <f t="shared" si="110"/>
        <v>0</v>
      </c>
      <c r="E1187" s="549">
        <f t="shared" si="111"/>
        <v>0</v>
      </c>
      <c r="F1187" s="549">
        <f t="shared" si="104"/>
        <v>0</v>
      </c>
      <c r="G1187" s="506">
        <f t="shared" si="105"/>
        <v>0</v>
      </c>
      <c r="H1187" s="554">
        <f>+J1133*G1187+E1187</f>
        <v>0</v>
      </c>
      <c r="I1187" s="555">
        <f>+J1134*G1187+E1187</f>
        <v>0</v>
      </c>
      <c r="J1187" s="552">
        <f t="shared" si="106"/>
        <v>0</v>
      </c>
      <c r="K1187" s="552"/>
      <c r="L1187" s="572"/>
      <c r="M1187" s="552">
        <f t="shared" si="107"/>
        <v>0</v>
      </c>
      <c r="N1187" s="572"/>
      <c r="O1187" s="552">
        <f t="shared" si="108"/>
        <v>0</v>
      </c>
      <c r="P1187" s="552">
        <f t="shared" si="109"/>
        <v>0</v>
      </c>
    </row>
    <row r="1188" spans="3:16">
      <c r="C1188" s="548">
        <f>IF(D1132="","-",+C1187+1)</f>
        <v>2071</v>
      </c>
      <c r="D1188" s="506">
        <f t="shared" si="110"/>
        <v>0</v>
      </c>
      <c r="E1188" s="549">
        <f t="shared" si="111"/>
        <v>0</v>
      </c>
      <c r="F1188" s="549">
        <f t="shared" si="104"/>
        <v>0</v>
      </c>
      <c r="G1188" s="506">
        <f t="shared" si="105"/>
        <v>0</v>
      </c>
      <c r="H1188" s="554">
        <f>+J1133*G1188+E1188</f>
        <v>0</v>
      </c>
      <c r="I1188" s="555">
        <f>+J1134*G1188+E1188</f>
        <v>0</v>
      </c>
      <c r="J1188" s="552">
        <f t="shared" si="106"/>
        <v>0</v>
      </c>
      <c r="K1188" s="552"/>
      <c r="L1188" s="572"/>
      <c r="M1188" s="552">
        <f t="shared" si="107"/>
        <v>0</v>
      </c>
      <c r="N1188" s="572"/>
      <c r="O1188" s="552">
        <f t="shared" si="108"/>
        <v>0</v>
      </c>
      <c r="P1188" s="552">
        <f t="shared" si="109"/>
        <v>0</v>
      </c>
    </row>
    <row r="1189" spans="3:16">
      <c r="C1189" s="548">
        <f>IF(D1132="","-",+C1188+1)</f>
        <v>2072</v>
      </c>
      <c r="D1189" s="506">
        <f t="shared" si="110"/>
        <v>0</v>
      </c>
      <c r="E1189" s="549">
        <f t="shared" si="111"/>
        <v>0</v>
      </c>
      <c r="F1189" s="549">
        <f t="shared" si="104"/>
        <v>0</v>
      </c>
      <c r="G1189" s="506">
        <f t="shared" si="105"/>
        <v>0</v>
      </c>
      <c r="H1189" s="554">
        <f>+J1133*G1189+E1189</f>
        <v>0</v>
      </c>
      <c r="I1189" s="555">
        <f>+J1134*G1189+E1189</f>
        <v>0</v>
      </c>
      <c r="J1189" s="552">
        <f t="shared" si="106"/>
        <v>0</v>
      </c>
      <c r="K1189" s="552"/>
      <c r="L1189" s="572"/>
      <c r="M1189" s="552">
        <f t="shared" si="107"/>
        <v>0</v>
      </c>
      <c r="N1189" s="572"/>
      <c r="O1189" s="552">
        <f t="shared" si="108"/>
        <v>0</v>
      </c>
      <c r="P1189" s="552">
        <f t="shared" si="109"/>
        <v>0</v>
      </c>
    </row>
    <row r="1190" spans="3:16">
      <c r="C1190" s="548">
        <f>IF(D1132="","-",+C1189+1)</f>
        <v>2073</v>
      </c>
      <c r="D1190" s="506">
        <f t="shared" si="110"/>
        <v>0</v>
      </c>
      <c r="E1190" s="549">
        <f t="shared" si="111"/>
        <v>0</v>
      </c>
      <c r="F1190" s="549">
        <f t="shared" si="104"/>
        <v>0</v>
      </c>
      <c r="G1190" s="506">
        <f t="shared" si="105"/>
        <v>0</v>
      </c>
      <c r="H1190" s="554">
        <f>+J1133*G1190+E1190</f>
        <v>0</v>
      </c>
      <c r="I1190" s="555">
        <f>+J1134*G1190+E1190</f>
        <v>0</v>
      </c>
      <c r="J1190" s="552">
        <f t="shared" si="106"/>
        <v>0</v>
      </c>
      <c r="K1190" s="552"/>
      <c r="L1190" s="572"/>
      <c r="M1190" s="552">
        <f t="shared" si="107"/>
        <v>0</v>
      </c>
      <c r="N1190" s="572"/>
      <c r="O1190" s="552">
        <f t="shared" si="108"/>
        <v>0</v>
      </c>
      <c r="P1190" s="552">
        <f t="shared" si="109"/>
        <v>0</v>
      </c>
    </row>
    <row r="1191" spans="3:16">
      <c r="C1191" s="548">
        <f>IF(D1132="","-",+C1190+1)</f>
        <v>2074</v>
      </c>
      <c r="D1191" s="506">
        <f t="shared" si="110"/>
        <v>0</v>
      </c>
      <c r="E1191" s="549">
        <f t="shared" si="111"/>
        <v>0</v>
      </c>
      <c r="F1191" s="549">
        <f t="shared" si="104"/>
        <v>0</v>
      </c>
      <c r="G1191" s="506">
        <f t="shared" si="105"/>
        <v>0</v>
      </c>
      <c r="H1191" s="554">
        <f>+J1133*G1191+E1191</f>
        <v>0</v>
      </c>
      <c r="I1191" s="555">
        <f>+J1134*G1191+E1191</f>
        <v>0</v>
      </c>
      <c r="J1191" s="552">
        <f t="shared" si="106"/>
        <v>0</v>
      </c>
      <c r="K1191" s="552"/>
      <c r="L1191" s="572"/>
      <c r="M1191" s="552">
        <f t="shared" si="107"/>
        <v>0</v>
      </c>
      <c r="N1191" s="572"/>
      <c r="O1191" s="552">
        <f t="shared" si="108"/>
        <v>0</v>
      </c>
      <c r="P1191" s="552">
        <f t="shared" si="109"/>
        <v>0</v>
      </c>
    </row>
    <row r="1192" spans="3:16">
      <c r="C1192" s="548">
        <f>IF(D1132="","-",+C1191+1)</f>
        <v>2075</v>
      </c>
      <c r="D1192" s="506">
        <f t="shared" si="110"/>
        <v>0</v>
      </c>
      <c r="E1192" s="549">
        <f t="shared" si="111"/>
        <v>0</v>
      </c>
      <c r="F1192" s="549">
        <f t="shared" si="104"/>
        <v>0</v>
      </c>
      <c r="G1192" s="506">
        <f t="shared" si="105"/>
        <v>0</v>
      </c>
      <c r="H1192" s="554">
        <f>+J1133*G1192+E1192</f>
        <v>0</v>
      </c>
      <c r="I1192" s="555">
        <f>+J1134*G1192+E1192</f>
        <v>0</v>
      </c>
      <c r="J1192" s="552">
        <f t="shared" si="106"/>
        <v>0</v>
      </c>
      <c r="K1192" s="552"/>
      <c r="L1192" s="572"/>
      <c r="M1192" s="552">
        <f t="shared" si="107"/>
        <v>0</v>
      </c>
      <c r="N1192" s="572"/>
      <c r="O1192" s="552">
        <f t="shared" si="108"/>
        <v>0</v>
      </c>
      <c r="P1192" s="552">
        <f t="shared" si="109"/>
        <v>0</v>
      </c>
    </row>
    <row r="1193" spans="3:16">
      <c r="C1193" s="548">
        <f>IF(D1132="","-",+C1192+1)</f>
        <v>2076</v>
      </c>
      <c r="D1193" s="506">
        <f t="shared" si="110"/>
        <v>0</v>
      </c>
      <c r="E1193" s="549">
        <f t="shared" si="111"/>
        <v>0</v>
      </c>
      <c r="F1193" s="549">
        <f t="shared" si="104"/>
        <v>0</v>
      </c>
      <c r="G1193" s="506">
        <f t="shared" si="105"/>
        <v>0</v>
      </c>
      <c r="H1193" s="554">
        <f>+J1133*G1193+E1193</f>
        <v>0</v>
      </c>
      <c r="I1193" s="555">
        <f>+J1134*G1193+E1193</f>
        <v>0</v>
      </c>
      <c r="J1193" s="552">
        <f t="shared" si="106"/>
        <v>0</v>
      </c>
      <c r="K1193" s="552"/>
      <c r="L1193" s="572"/>
      <c r="M1193" s="552">
        <f t="shared" si="107"/>
        <v>0</v>
      </c>
      <c r="N1193" s="572"/>
      <c r="O1193" s="552">
        <f t="shared" si="108"/>
        <v>0</v>
      </c>
      <c r="P1193" s="552">
        <f t="shared" si="109"/>
        <v>0</v>
      </c>
    </row>
    <row r="1194" spans="3:16">
      <c r="C1194" s="548">
        <f>IF(D1132="","-",+C1193+1)</f>
        <v>2077</v>
      </c>
      <c r="D1194" s="506">
        <f t="shared" si="110"/>
        <v>0</v>
      </c>
      <c r="E1194" s="549">
        <f t="shared" si="111"/>
        <v>0</v>
      </c>
      <c r="F1194" s="549">
        <f t="shared" si="104"/>
        <v>0</v>
      </c>
      <c r="G1194" s="506">
        <f t="shared" si="105"/>
        <v>0</v>
      </c>
      <c r="H1194" s="554">
        <f>+J1133*G1194+E1194</f>
        <v>0</v>
      </c>
      <c r="I1194" s="555">
        <f>+J1134*G1194+E1194</f>
        <v>0</v>
      </c>
      <c r="J1194" s="552">
        <f t="shared" si="106"/>
        <v>0</v>
      </c>
      <c r="K1194" s="552"/>
      <c r="L1194" s="572"/>
      <c r="M1194" s="552">
        <f t="shared" si="107"/>
        <v>0</v>
      </c>
      <c r="N1194" s="572"/>
      <c r="O1194" s="552">
        <f t="shared" si="108"/>
        <v>0</v>
      </c>
      <c r="P1194" s="552">
        <f t="shared" si="109"/>
        <v>0</v>
      </c>
    </row>
    <row r="1195" spans="3:16">
      <c r="C1195" s="548">
        <f>IF(D1132="","-",+C1194+1)</f>
        <v>2078</v>
      </c>
      <c r="D1195" s="506">
        <f t="shared" si="110"/>
        <v>0</v>
      </c>
      <c r="E1195" s="549">
        <f t="shared" si="111"/>
        <v>0</v>
      </c>
      <c r="F1195" s="549">
        <f t="shared" si="104"/>
        <v>0</v>
      </c>
      <c r="G1195" s="506">
        <f t="shared" si="105"/>
        <v>0</v>
      </c>
      <c r="H1195" s="554">
        <f>+J1133*G1195+E1195</f>
        <v>0</v>
      </c>
      <c r="I1195" s="555">
        <f>+J1134*G1195+E1195</f>
        <v>0</v>
      </c>
      <c r="J1195" s="552">
        <f t="shared" si="106"/>
        <v>0</v>
      </c>
      <c r="K1195" s="552"/>
      <c r="L1195" s="572"/>
      <c r="M1195" s="552">
        <f t="shared" si="107"/>
        <v>0</v>
      </c>
      <c r="N1195" s="572"/>
      <c r="O1195" s="552">
        <f t="shared" si="108"/>
        <v>0</v>
      </c>
      <c r="P1195" s="552">
        <f t="shared" si="109"/>
        <v>0</v>
      </c>
    </row>
    <row r="1196" spans="3:16">
      <c r="C1196" s="548">
        <f>IF(D1132="","-",+C1195+1)</f>
        <v>2079</v>
      </c>
      <c r="D1196" s="506">
        <f t="shared" si="110"/>
        <v>0</v>
      </c>
      <c r="E1196" s="549">
        <f t="shared" si="111"/>
        <v>0</v>
      </c>
      <c r="F1196" s="549">
        <f t="shared" si="104"/>
        <v>0</v>
      </c>
      <c r="G1196" s="506">
        <f t="shared" si="105"/>
        <v>0</v>
      </c>
      <c r="H1196" s="554">
        <f>+J1133*G1196+E1196</f>
        <v>0</v>
      </c>
      <c r="I1196" s="555">
        <f>+J1134*G1196+E1196</f>
        <v>0</v>
      </c>
      <c r="J1196" s="552">
        <f t="shared" si="106"/>
        <v>0</v>
      </c>
      <c r="K1196" s="552"/>
      <c r="L1196" s="572"/>
      <c r="M1196" s="552">
        <f t="shared" si="107"/>
        <v>0</v>
      </c>
      <c r="N1196" s="572"/>
      <c r="O1196" s="552">
        <f t="shared" si="108"/>
        <v>0</v>
      </c>
      <c r="P1196" s="552">
        <f t="shared" si="109"/>
        <v>0</v>
      </c>
    </row>
    <row r="1197" spans="3:16" ht="13.5" thickBot="1">
      <c r="C1197" s="558">
        <f>IF(D1132="","-",+C1196+1)</f>
        <v>2080</v>
      </c>
      <c r="D1197" s="1085">
        <f t="shared" si="110"/>
        <v>0</v>
      </c>
      <c r="E1197" s="560">
        <f t="shared" si="111"/>
        <v>0</v>
      </c>
      <c r="F1197" s="560">
        <f t="shared" si="104"/>
        <v>0</v>
      </c>
      <c r="G1197" s="559">
        <f t="shared" si="105"/>
        <v>0</v>
      </c>
      <c r="H1197" s="561">
        <f>+J1133*G1197+E1197</f>
        <v>0</v>
      </c>
      <c r="I1197" s="561">
        <f>+J1134*G1197+E1197</f>
        <v>0</v>
      </c>
      <c r="J1197" s="562">
        <f t="shared" si="106"/>
        <v>0</v>
      </c>
      <c r="K1197" s="552"/>
      <c r="L1197" s="573"/>
      <c r="M1197" s="562">
        <f t="shared" si="107"/>
        <v>0</v>
      </c>
      <c r="N1197" s="573"/>
      <c r="O1197" s="562">
        <f t="shared" si="108"/>
        <v>0</v>
      </c>
      <c r="P1197" s="562">
        <f t="shared" si="109"/>
        <v>0</v>
      </c>
    </row>
    <row r="1198" spans="3:16">
      <c r="C1198" s="506" t="s">
        <v>91</v>
      </c>
      <c r="D1198" s="503"/>
      <c r="E1198" s="503">
        <f>SUM(E1138:E1197)</f>
        <v>4552254.1300000008</v>
      </c>
      <c r="F1198" s="503"/>
      <c r="G1198" s="503"/>
      <c r="H1198" s="503">
        <f>SUM(H1138:H1197)</f>
        <v>13759890.718996698</v>
      </c>
      <c r="I1198" s="503">
        <f>SUM(I1138:I1197)</f>
        <v>13759890.718996698</v>
      </c>
      <c r="J1198" s="503">
        <f>SUM(J1138:J1197)</f>
        <v>0</v>
      </c>
      <c r="K1198" s="503"/>
      <c r="L1198" s="503"/>
      <c r="M1198" s="503"/>
      <c r="N1198" s="503"/>
      <c r="O1198" s="503"/>
    </row>
    <row r="1199" spans="3:16">
      <c r="D1199" s="47"/>
      <c r="E1199" s="3"/>
      <c r="F1199" s="3"/>
      <c r="G1199" s="3"/>
      <c r="H1199" s="3"/>
      <c r="I1199" s="490"/>
      <c r="J1199" s="490"/>
      <c r="K1199" s="503"/>
      <c r="L1199" s="490"/>
      <c r="M1199" s="490"/>
      <c r="N1199" s="490"/>
      <c r="O1199" s="490"/>
    </row>
    <row r="1200" spans="3:16">
      <c r="C1200" s="3" t="s">
        <v>13</v>
      </c>
      <c r="D1200" s="47"/>
      <c r="E1200" s="3"/>
      <c r="F1200" s="3"/>
      <c r="G1200" s="3"/>
      <c r="H1200" s="3"/>
      <c r="I1200" s="490"/>
      <c r="J1200" s="490"/>
      <c r="K1200" s="503"/>
      <c r="L1200" s="490"/>
      <c r="M1200" s="490"/>
      <c r="N1200" s="490"/>
      <c r="O1200" s="490"/>
    </row>
    <row r="1201" spans="3:15">
      <c r="C1201" s="3"/>
      <c r="D1201" s="47"/>
      <c r="E1201" s="3"/>
      <c r="F1201" s="3"/>
      <c r="G1201" s="3"/>
      <c r="H1201" s="3"/>
      <c r="I1201" s="490"/>
      <c r="J1201" s="490"/>
      <c r="K1201" s="503"/>
      <c r="L1201" s="490"/>
      <c r="M1201" s="490"/>
      <c r="N1201" s="490"/>
      <c r="O1201" s="490"/>
    </row>
    <row r="1202" spans="3:15">
      <c r="C1202" s="518" t="s">
        <v>14</v>
      </c>
      <c r="D1202" s="506"/>
      <c r="E1202" s="506"/>
      <c r="F1202" s="506"/>
      <c r="G1202" s="506"/>
      <c r="H1202" s="503"/>
      <c r="I1202" s="503"/>
      <c r="J1202" s="564"/>
      <c r="K1202" s="564"/>
      <c r="L1202" s="564"/>
      <c r="M1202" s="564"/>
      <c r="N1202" s="564"/>
      <c r="O1202" s="564"/>
    </row>
    <row r="1203" spans="3:15">
      <c r="C1203" s="507" t="s">
        <v>271</v>
      </c>
      <c r="D1203" s="506"/>
      <c r="E1203" s="506"/>
      <c r="F1203" s="506"/>
      <c r="G1203" s="506"/>
      <c r="H1203" s="503"/>
      <c r="I1203" s="503"/>
      <c r="J1203" s="564"/>
      <c r="K1203" s="564"/>
      <c r="L1203" s="564"/>
      <c r="M1203" s="564"/>
      <c r="N1203" s="564"/>
      <c r="O1203" s="564"/>
    </row>
    <row r="1204" spans="3:15">
      <c r="C1204" s="507" t="s">
        <v>92</v>
      </c>
      <c r="D1204" s="506"/>
      <c r="E1204" s="506"/>
      <c r="F1204" s="506"/>
      <c r="G1204" s="506"/>
      <c r="H1204" s="503"/>
      <c r="I1204" s="503"/>
      <c r="J1204" s="564"/>
      <c r="K1204" s="564"/>
      <c r="L1204" s="564"/>
      <c r="M1204" s="564"/>
      <c r="N1204" s="564"/>
      <c r="O1204" s="564"/>
    </row>
  </sheetData>
  <mergeCells count="35">
    <mergeCell ref="L180:O180"/>
    <mergeCell ref="D176:I177"/>
    <mergeCell ref="D263:I264"/>
    <mergeCell ref="L267:O267"/>
    <mergeCell ref="C51:D52"/>
    <mergeCell ref="C60:D61"/>
    <mergeCell ref="C71:D72"/>
    <mergeCell ref="L93:O93"/>
    <mergeCell ref="D89:I89"/>
    <mergeCell ref="J77:P80"/>
    <mergeCell ref="A3:P3"/>
    <mergeCell ref="C11:I12"/>
    <mergeCell ref="A4:P4"/>
    <mergeCell ref="A5:P5"/>
    <mergeCell ref="A6:P6"/>
    <mergeCell ref="D437:I438"/>
    <mergeCell ref="D350:I351"/>
    <mergeCell ref="D1043:I1044"/>
    <mergeCell ref="L1047:O1047"/>
    <mergeCell ref="L354:O354"/>
    <mergeCell ref="L441:O441"/>
    <mergeCell ref="D524:I525"/>
    <mergeCell ref="L528:O528"/>
    <mergeCell ref="D611:I612"/>
    <mergeCell ref="L615:O615"/>
    <mergeCell ref="D872:I873"/>
    <mergeCell ref="L876:O876"/>
    <mergeCell ref="L789:O789"/>
    <mergeCell ref="L702:O702"/>
    <mergeCell ref="D785:I786"/>
    <mergeCell ref="D1127:I1128"/>
    <mergeCell ref="L1131:O1131"/>
    <mergeCell ref="D959:I960"/>
    <mergeCell ref="L963:O963"/>
    <mergeCell ref="D698:I699"/>
  </mergeCells>
  <phoneticPr fontId="0" type="noConversion"/>
  <conditionalFormatting sqref="C100:C159">
    <cfRule type="cellIs" dxfId="16" priority="23" stopIfTrue="1" operator="equal">
      <formula>$J$92</formula>
    </cfRule>
  </conditionalFormatting>
  <conditionalFormatting sqref="C187:C246">
    <cfRule type="cellIs" dxfId="15" priority="12" stopIfTrue="1" operator="equal">
      <formula>$J$92</formula>
    </cfRule>
  </conditionalFormatting>
  <conditionalFormatting sqref="C274:C333">
    <cfRule type="cellIs" dxfId="14" priority="11" stopIfTrue="1" operator="equal">
      <formula>$J$92</formula>
    </cfRule>
  </conditionalFormatting>
  <conditionalFormatting sqref="C361:C420">
    <cfRule type="cellIs" dxfId="13" priority="10" stopIfTrue="1" operator="equal">
      <formula>$J$92</formula>
    </cfRule>
  </conditionalFormatting>
  <conditionalFormatting sqref="C448:C507">
    <cfRule type="cellIs" dxfId="12" priority="9" stopIfTrue="1" operator="equal">
      <formula>$J$92</formula>
    </cfRule>
  </conditionalFormatting>
  <conditionalFormatting sqref="C535:C594">
    <cfRule type="cellIs" dxfId="11" priority="8" stopIfTrue="1" operator="equal">
      <formula>$J$92</formula>
    </cfRule>
  </conditionalFormatting>
  <conditionalFormatting sqref="C622:C681">
    <cfRule type="cellIs" dxfId="10" priority="7" stopIfTrue="1" operator="equal">
      <formula>$J$92</formula>
    </cfRule>
  </conditionalFormatting>
  <conditionalFormatting sqref="C709:C768">
    <cfRule type="cellIs" dxfId="9" priority="6" stopIfTrue="1" operator="equal">
      <formula>$J$92</formula>
    </cfRule>
  </conditionalFormatting>
  <conditionalFormatting sqref="C796:C855">
    <cfRule type="cellIs" dxfId="8" priority="5" stopIfTrue="1" operator="equal">
      <formula>$J$92</formula>
    </cfRule>
  </conditionalFormatting>
  <conditionalFormatting sqref="C883:C942">
    <cfRule type="cellIs" dxfId="7" priority="4" stopIfTrue="1" operator="equal">
      <formula>$J$92</formula>
    </cfRule>
  </conditionalFormatting>
  <conditionalFormatting sqref="C970:C1029">
    <cfRule type="cellIs" dxfId="6" priority="3" stopIfTrue="1" operator="equal">
      <formula>$J$92</formula>
    </cfRule>
  </conditionalFormatting>
  <conditionalFormatting sqref="C1054:C1113">
    <cfRule type="cellIs" dxfId="5" priority="2" stopIfTrue="1" operator="equal">
      <formula>$J$92</formula>
    </cfRule>
  </conditionalFormatting>
  <conditionalFormatting sqref="C1138:C1197">
    <cfRule type="cellIs" dxfId="4" priority="1" stopIfTrue="1" operator="equal">
      <formula>$J$92</formula>
    </cfRule>
  </conditionalFormatting>
  <pageMargins left="0.26" right="1.28" top="0.72" bottom="0.72" header="0.75" footer="0.5"/>
  <pageSetup scale="41" fitToHeight="2" orientation="landscape" r:id="rId1"/>
  <headerFooter alignWithMargins="0">
    <oddHeader>&amp;R&amp;"Arial,Bold"Formula Rate 
&amp;A
Page &amp;P of &amp;N</oddHeader>
  </headerFooter>
  <rowBreaks count="12" manualBreakCount="12">
    <brk id="80" max="16383" man="1"/>
    <brk id="166" max="16383" man="1"/>
    <brk id="254" max="16383" man="1"/>
    <brk id="341" max="16383" man="1"/>
    <brk id="428" max="16383" man="1"/>
    <brk id="515" max="16383" man="1"/>
    <brk id="602" max="16383" man="1"/>
    <brk id="689" max="16383" man="1"/>
    <brk id="776" max="16383" man="1"/>
    <brk id="862" max="16383" man="1"/>
    <brk id="952" max="16383" man="1"/>
    <brk id="103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E10"/>
  <sheetViews>
    <sheetView tabSelected="1" zoomScaleNormal="75" workbookViewId="0">
      <selection activeCell="O54" sqref="O54"/>
    </sheetView>
  </sheetViews>
  <sheetFormatPr defaultRowHeight="12.75"/>
  <cols>
    <col min="1" max="1" width="9.140625" style="7"/>
    <col min="2" max="2" width="40.140625" style="8" customWidth="1"/>
    <col min="3" max="3" width="31.5703125" style="5" customWidth="1"/>
    <col min="4" max="4" width="14.85546875" style="5" customWidth="1"/>
    <col min="5" max="5" width="18" style="5" customWidth="1"/>
    <col min="6" max="16384" width="9.140625" style="5"/>
  </cols>
  <sheetData>
    <row r="1" spans="1:5" ht="15.75">
      <c r="A1" s="738" t="s">
        <v>414</v>
      </c>
    </row>
    <row r="2" spans="1:5" ht="15.75">
      <c r="A2" s="738" t="s">
        <v>414</v>
      </c>
    </row>
    <row r="3" spans="1:5" ht="15">
      <c r="B3" s="1161" t="str">
        <f>TCOS!$F$5</f>
        <v>AEPTCo subsidiaries in PJM</v>
      </c>
      <c r="C3" s="1161" t="str">
        <f>TCOS!$F$5</f>
        <v>AEPTCo subsidiaries in PJM</v>
      </c>
      <c r="D3" s="1161" t="str">
        <f>TCOS!$F$5</f>
        <v>AEPTCo subsidiaries in PJM</v>
      </c>
      <c r="E3" s="1161" t="str">
        <f>TCOS!$F$5</f>
        <v>AEPTCo subsidiaries in PJM</v>
      </c>
    </row>
    <row r="4" spans="1:5" ht="15">
      <c r="B4" s="1162" t="str">
        <f>"Cost of Service Formula Rate Using Actual/Projected FF1 Balances"</f>
        <v>Cost of Service Formula Rate Using Actual/Projected FF1 Balances</v>
      </c>
      <c r="C4" s="1162"/>
      <c r="D4" s="1162"/>
      <c r="E4" s="1162"/>
    </row>
    <row r="5" spans="1:5" ht="15">
      <c r="B5" s="1161" t="s">
        <v>597</v>
      </c>
      <c r="C5" s="1161"/>
      <c r="D5" s="1161"/>
      <c r="E5" s="1161"/>
    </row>
    <row r="6" spans="1:5" ht="15">
      <c r="B6" s="1173" t="str">
        <f>+TCOS!F9</f>
        <v>AEP Indiana Michigan Transmission Company</v>
      </c>
      <c r="C6" s="1161"/>
      <c r="D6" s="1161"/>
      <c r="E6" s="1161"/>
    </row>
    <row r="8" spans="1:5" ht="18.75" customHeight="1">
      <c r="B8" s="6" t="s">
        <v>414</v>
      </c>
      <c r="C8" s="63"/>
      <c r="D8" s="76"/>
    </row>
    <row r="9" spans="1:5">
      <c r="B9" s="75"/>
      <c r="C9" s="63"/>
      <c r="D9" s="76"/>
    </row>
    <row r="10" spans="1:5">
      <c r="B10" s="8" t="s">
        <v>561</v>
      </c>
    </row>
  </sheetData>
  <mergeCells count="4">
    <mergeCell ref="B6:E6"/>
    <mergeCell ref="B3:E3"/>
    <mergeCell ref="B4:E4"/>
    <mergeCell ref="B5:E5"/>
  </mergeCells>
  <phoneticPr fontId="0" type="noConversion"/>
  <pageMargins left="0.61" right="1" top="1.22" bottom="1" header="0.87" footer="0.5"/>
  <pageSetup scale="73" orientation="portrait" r:id="rId1"/>
  <headerFooter alignWithMargins="0">
    <oddHeader>&amp;R&amp;"Arial,Bold"Formula Rate 
&amp;A
Page &amp;P of &amp;N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76"/>
  <sheetViews>
    <sheetView tabSelected="1" topLeftCell="A35" zoomScaleNormal="100" zoomScaleSheetLayoutView="70" workbookViewId="0">
      <selection activeCell="O54" sqref="O54"/>
    </sheetView>
  </sheetViews>
  <sheetFormatPr defaultColWidth="11.42578125" defaultRowHeight="12.75"/>
  <cols>
    <col min="1" max="1" width="10.28515625" style="861" customWidth="1"/>
    <col min="2" max="2" width="52.28515625" style="835" customWidth="1"/>
    <col min="3" max="7" width="20.28515625" style="835" customWidth="1"/>
    <col min="8" max="8" width="23" style="835" customWidth="1"/>
    <col min="9" max="11" width="20.28515625" style="835" customWidth="1"/>
    <col min="12" max="12" width="20" style="835" customWidth="1"/>
    <col min="13" max="14" width="15.140625" style="835" customWidth="1"/>
    <col min="15" max="16384" width="11.42578125" style="835"/>
  </cols>
  <sheetData>
    <row r="1" spans="1:12" ht="15">
      <c r="A1" s="1225" t="str">
        <f>TCOS!F5</f>
        <v>AEPTCo subsidiaries in PJM</v>
      </c>
      <c r="B1" s="1225" t="s">
        <v>329</v>
      </c>
      <c r="C1" s="1225" t="s">
        <v>329</v>
      </c>
      <c r="D1" s="1225" t="s">
        <v>329</v>
      </c>
      <c r="E1" s="1225" t="s">
        <v>329</v>
      </c>
      <c r="F1" s="1225" t="s">
        <v>329</v>
      </c>
      <c r="G1" s="1225" t="s">
        <v>329</v>
      </c>
      <c r="H1" s="750"/>
    </row>
    <row r="2" spans="1:12" ht="15">
      <c r="A2" s="1162" t="str">
        <f>"Cost of Service Formula Rate Using Actual/Projected FF1 Balances"</f>
        <v>Cost of Service Formula Rate Using Actual/Projected FF1 Balances</v>
      </c>
      <c r="B2" s="1162"/>
      <c r="C2" s="1162"/>
      <c r="D2" s="1162"/>
      <c r="E2" s="1162"/>
      <c r="F2" s="1162"/>
      <c r="G2" s="1162"/>
      <c r="H2" s="836"/>
      <c r="I2" s="836"/>
      <c r="J2" s="836"/>
      <c r="L2" s="837"/>
    </row>
    <row r="3" spans="1:12" ht="15">
      <c r="A3" s="1162" t="s">
        <v>732</v>
      </c>
      <c r="B3" s="1162"/>
      <c r="C3" s="1162"/>
      <c r="D3" s="1162"/>
      <c r="E3" s="1162"/>
      <c r="F3" s="1162"/>
      <c r="G3" s="1162"/>
      <c r="H3" s="836"/>
      <c r="I3" s="836"/>
      <c r="J3" s="836"/>
    </row>
    <row r="4" spans="1:12" ht="15">
      <c r="A4" s="1163" t="str">
        <f>TCOS!F9</f>
        <v>AEP Indiana Michigan Transmission Company</v>
      </c>
      <c r="B4" s="1163"/>
      <c r="C4" s="1163"/>
      <c r="D4" s="1163"/>
      <c r="E4" s="1163"/>
      <c r="F4" s="1163"/>
      <c r="G4" s="1163"/>
      <c r="H4" s="836"/>
      <c r="I4" s="836"/>
      <c r="J4" s="836"/>
    </row>
    <row r="5" spans="1:12">
      <c r="A5" s="836"/>
      <c r="B5" s="838"/>
      <c r="C5" s="838"/>
      <c r="D5" s="838"/>
      <c r="E5" s="839"/>
      <c r="F5" s="840"/>
      <c r="H5" s="749"/>
      <c r="I5" s="749"/>
      <c r="J5" s="749"/>
      <c r="K5" s="749"/>
      <c r="L5" s="749"/>
    </row>
    <row r="6" spans="1:12" ht="12.75" customHeight="1">
      <c r="A6" s="750"/>
      <c r="B6" s="783"/>
      <c r="C6" s="1167" t="s">
        <v>339</v>
      </c>
      <c r="D6" s="1168"/>
      <c r="E6" s="1168"/>
      <c r="F6" s="1168"/>
      <c r="G6" s="1169"/>
      <c r="H6" s="749"/>
      <c r="I6" s="749"/>
      <c r="J6" s="749"/>
      <c r="K6" s="749"/>
      <c r="L6" s="749"/>
    </row>
    <row r="7" spans="1:12" s="843" customFormat="1" ht="38.25">
      <c r="A7" s="841" t="s">
        <v>701</v>
      </c>
      <c r="B7" s="788" t="s">
        <v>702</v>
      </c>
      <c r="C7" s="811" t="s">
        <v>733</v>
      </c>
      <c r="D7" s="789" t="s">
        <v>171</v>
      </c>
      <c r="E7" s="789" t="s">
        <v>734</v>
      </c>
      <c r="F7" s="789" t="s">
        <v>735</v>
      </c>
      <c r="G7" s="842" t="s">
        <v>339</v>
      </c>
      <c r="H7" s="749"/>
      <c r="I7" s="749"/>
      <c r="J7" s="749"/>
      <c r="K7" s="749"/>
      <c r="L7" s="749"/>
    </row>
    <row r="8" spans="1:12" s="846" customFormat="1">
      <c r="A8" s="844"/>
      <c r="B8" s="791" t="s">
        <v>706</v>
      </c>
      <c r="C8" s="812" t="s">
        <v>723</v>
      </c>
      <c r="D8" s="785" t="s">
        <v>724</v>
      </c>
      <c r="E8" s="785" t="s">
        <v>707</v>
      </c>
      <c r="F8" s="785" t="s">
        <v>708</v>
      </c>
      <c r="G8" s="845" t="s">
        <v>736</v>
      </c>
      <c r="H8" s="749"/>
      <c r="I8" s="749"/>
      <c r="J8" s="749"/>
      <c r="K8" s="749"/>
      <c r="L8" s="749"/>
    </row>
    <row r="9" spans="1:12" s="846" customFormat="1" ht="44.25" customHeight="1">
      <c r="A9" s="844"/>
      <c r="B9" s="791" t="s">
        <v>712</v>
      </c>
      <c r="C9" s="847" t="s">
        <v>737</v>
      </c>
      <c r="D9" s="793" t="s">
        <v>738</v>
      </c>
      <c r="E9" s="793" t="s">
        <v>739</v>
      </c>
      <c r="F9" s="793" t="s">
        <v>740</v>
      </c>
      <c r="G9" s="848"/>
      <c r="H9" s="749"/>
      <c r="I9" s="749"/>
      <c r="J9" s="749"/>
      <c r="K9" s="749"/>
      <c r="L9" s="749"/>
    </row>
    <row r="10" spans="1:12">
      <c r="A10" s="844">
        <v>1</v>
      </c>
      <c r="B10" s="794" t="s">
        <v>713</v>
      </c>
      <c r="C10" s="849">
        <v>1908399883.7749987</v>
      </c>
      <c r="D10" s="849">
        <v>0</v>
      </c>
      <c r="E10" s="849">
        <v>0</v>
      </c>
      <c r="F10" s="849">
        <v>0</v>
      </c>
      <c r="G10" s="850">
        <f>+C10-D10-E10-F10</f>
        <v>1908399883.7749987</v>
      </c>
      <c r="H10" s="749"/>
      <c r="I10" s="749"/>
      <c r="J10" s="749"/>
      <c r="K10" s="749"/>
      <c r="L10" s="749"/>
    </row>
    <row r="11" spans="1:12">
      <c r="A11" s="844">
        <f>+A10+1</f>
        <v>2</v>
      </c>
      <c r="B11" s="794" t="s">
        <v>574</v>
      </c>
      <c r="C11" s="849">
        <v>1927091816.4029999</v>
      </c>
      <c r="D11" s="849">
        <v>0</v>
      </c>
      <c r="E11" s="849">
        <v>0</v>
      </c>
      <c r="F11" s="849">
        <v>0</v>
      </c>
      <c r="G11" s="850">
        <f t="shared" ref="G11:G22" si="0">+C11-D11-E11-F11</f>
        <v>1927091816.4029999</v>
      </c>
      <c r="H11" s="749"/>
      <c r="I11" s="749"/>
      <c r="J11" s="749"/>
      <c r="K11" s="749"/>
      <c r="L11" s="749"/>
    </row>
    <row r="12" spans="1:12">
      <c r="A12" s="844">
        <f t="shared" ref="A12:A23" si="1">+A11+1</f>
        <v>3</v>
      </c>
      <c r="B12" s="796" t="s">
        <v>575</v>
      </c>
      <c r="C12" s="849">
        <v>1923092793.2830002</v>
      </c>
      <c r="D12" s="849">
        <v>0</v>
      </c>
      <c r="E12" s="849">
        <v>0</v>
      </c>
      <c r="F12" s="849">
        <v>0</v>
      </c>
      <c r="G12" s="850">
        <f t="shared" si="0"/>
        <v>1923092793.2830002</v>
      </c>
      <c r="H12" s="749"/>
      <c r="I12" s="749"/>
      <c r="J12" s="749"/>
      <c r="K12" s="749"/>
      <c r="L12" s="749"/>
    </row>
    <row r="13" spans="1:12">
      <c r="A13" s="844">
        <f t="shared" si="1"/>
        <v>4</v>
      </c>
      <c r="B13" s="796" t="s">
        <v>714</v>
      </c>
      <c r="C13" s="849">
        <v>1941794766.5729997</v>
      </c>
      <c r="D13" s="849">
        <v>0</v>
      </c>
      <c r="E13" s="849">
        <v>0</v>
      </c>
      <c r="F13" s="849">
        <v>0</v>
      </c>
      <c r="G13" s="850">
        <f t="shared" si="0"/>
        <v>1941794766.5729997</v>
      </c>
      <c r="H13" s="749"/>
      <c r="I13" s="749"/>
      <c r="J13" s="749"/>
      <c r="K13" s="749"/>
      <c r="L13" s="749"/>
    </row>
    <row r="14" spans="1:12">
      <c r="A14" s="844">
        <f t="shared" si="1"/>
        <v>5</v>
      </c>
      <c r="B14" s="796" t="s">
        <v>577</v>
      </c>
      <c r="C14" s="849">
        <v>1960142532.9429998</v>
      </c>
      <c r="D14" s="849">
        <v>0</v>
      </c>
      <c r="E14" s="849">
        <v>0</v>
      </c>
      <c r="F14" s="849">
        <v>0</v>
      </c>
      <c r="G14" s="850">
        <f t="shared" si="0"/>
        <v>1960142532.9429998</v>
      </c>
      <c r="H14" s="749"/>
      <c r="I14" s="749"/>
      <c r="J14" s="749"/>
      <c r="K14" s="749"/>
      <c r="L14" s="749"/>
    </row>
    <row r="15" spans="1:12">
      <c r="A15" s="844">
        <f t="shared" si="1"/>
        <v>6</v>
      </c>
      <c r="B15" s="796" t="s">
        <v>578</v>
      </c>
      <c r="C15" s="849">
        <v>1978030033.3010001</v>
      </c>
      <c r="D15" s="849">
        <v>0</v>
      </c>
      <c r="E15" s="849">
        <v>0</v>
      </c>
      <c r="F15" s="849">
        <v>0</v>
      </c>
      <c r="G15" s="850">
        <f t="shared" si="0"/>
        <v>1978030033.3010001</v>
      </c>
      <c r="H15" s="749"/>
      <c r="I15" s="749"/>
      <c r="J15" s="749"/>
      <c r="K15" s="749"/>
      <c r="L15" s="749"/>
    </row>
    <row r="16" spans="1:12">
      <c r="A16" s="844">
        <f t="shared" si="1"/>
        <v>7</v>
      </c>
      <c r="B16" s="796" t="s">
        <v>579</v>
      </c>
      <c r="C16" s="849">
        <v>2085693212.7810001</v>
      </c>
      <c r="D16" s="849">
        <v>0</v>
      </c>
      <c r="E16" s="849">
        <v>0</v>
      </c>
      <c r="F16" s="849">
        <v>0</v>
      </c>
      <c r="G16" s="850">
        <f t="shared" si="0"/>
        <v>2085693212.7810001</v>
      </c>
      <c r="H16" s="749"/>
      <c r="I16" s="749"/>
      <c r="J16" s="749"/>
      <c r="K16" s="749"/>
      <c r="L16" s="749"/>
    </row>
    <row r="17" spans="1:12">
      <c r="A17" s="844">
        <f t="shared" si="1"/>
        <v>8</v>
      </c>
      <c r="B17" s="796" t="s">
        <v>580</v>
      </c>
      <c r="C17" s="849">
        <v>2105121812.0759997</v>
      </c>
      <c r="D17" s="849">
        <v>0</v>
      </c>
      <c r="E17" s="849">
        <v>0</v>
      </c>
      <c r="F17" s="849">
        <v>0</v>
      </c>
      <c r="G17" s="850">
        <f t="shared" si="0"/>
        <v>2105121812.0759997</v>
      </c>
      <c r="H17" s="749"/>
      <c r="I17" s="749"/>
      <c r="J17" s="749"/>
      <c r="K17" s="749"/>
      <c r="L17" s="749"/>
    </row>
    <row r="18" spans="1:12">
      <c r="A18" s="844">
        <f t="shared" si="1"/>
        <v>9</v>
      </c>
      <c r="B18" s="796" t="s">
        <v>715</v>
      </c>
      <c r="C18" s="849">
        <v>2048589281.8610001</v>
      </c>
      <c r="D18" s="849">
        <v>0</v>
      </c>
      <c r="E18" s="849">
        <v>0</v>
      </c>
      <c r="F18" s="849">
        <v>0</v>
      </c>
      <c r="G18" s="850">
        <f t="shared" si="0"/>
        <v>2048589281.8610001</v>
      </c>
      <c r="H18" s="749"/>
      <c r="I18" s="749"/>
      <c r="J18" s="749"/>
      <c r="K18" s="749"/>
      <c r="L18" s="749"/>
    </row>
    <row r="19" spans="1:12">
      <c r="A19" s="844">
        <f t="shared" si="1"/>
        <v>10</v>
      </c>
      <c r="B19" s="796" t="s">
        <v>582</v>
      </c>
      <c r="C19" s="849">
        <v>2065511183.7029996</v>
      </c>
      <c r="D19" s="849">
        <v>0</v>
      </c>
      <c r="E19" s="849">
        <v>0</v>
      </c>
      <c r="F19" s="849">
        <v>0</v>
      </c>
      <c r="G19" s="850">
        <f t="shared" si="0"/>
        <v>2065511183.7029996</v>
      </c>
      <c r="H19" s="749"/>
      <c r="I19" s="749"/>
      <c r="J19" s="749"/>
      <c r="K19" s="749"/>
      <c r="L19" s="749"/>
    </row>
    <row r="20" spans="1:12">
      <c r="A20" s="844">
        <f t="shared" si="1"/>
        <v>11</v>
      </c>
      <c r="B20" s="796" t="s">
        <v>583</v>
      </c>
      <c r="C20" s="849">
        <v>2083929208.3239994</v>
      </c>
      <c r="D20" s="849">
        <v>0</v>
      </c>
      <c r="E20" s="849">
        <v>0</v>
      </c>
      <c r="F20" s="849">
        <v>0</v>
      </c>
      <c r="G20" s="850">
        <f t="shared" si="0"/>
        <v>2083929208.3239994</v>
      </c>
      <c r="H20" s="749"/>
      <c r="I20" s="749"/>
      <c r="J20" s="749"/>
      <c r="K20" s="749"/>
      <c r="L20" s="749"/>
    </row>
    <row r="21" spans="1:12">
      <c r="A21" s="844">
        <f t="shared" si="1"/>
        <v>12</v>
      </c>
      <c r="B21" s="796" t="s">
        <v>584</v>
      </c>
      <c r="C21" s="849">
        <v>1958181972.3249998</v>
      </c>
      <c r="D21" s="849">
        <v>0</v>
      </c>
      <c r="E21" s="849">
        <v>0</v>
      </c>
      <c r="F21" s="849">
        <v>0</v>
      </c>
      <c r="G21" s="850">
        <f t="shared" si="0"/>
        <v>1958181972.3249998</v>
      </c>
      <c r="H21" s="749"/>
      <c r="I21" s="749"/>
      <c r="J21" s="749"/>
      <c r="K21" s="749"/>
      <c r="L21" s="749"/>
    </row>
    <row r="22" spans="1:12">
      <c r="A22" s="851">
        <f t="shared" si="1"/>
        <v>13</v>
      </c>
      <c r="B22" s="798" t="s">
        <v>716</v>
      </c>
      <c r="C22" s="849">
        <v>1960059392.9310002</v>
      </c>
      <c r="D22" s="849">
        <v>0</v>
      </c>
      <c r="E22" s="849">
        <v>0</v>
      </c>
      <c r="F22" s="849">
        <v>0</v>
      </c>
      <c r="G22" s="850">
        <f t="shared" si="0"/>
        <v>1960059392.9310002</v>
      </c>
      <c r="H22" s="749"/>
      <c r="I22" s="749"/>
      <c r="J22" s="749"/>
      <c r="K22" s="749"/>
      <c r="L22" s="749"/>
    </row>
    <row r="23" spans="1:12" ht="13.5" thickBot="1">
      <c r="A23" s="851">
        <f t="shared" si="1"/>
        <v>14</v>
      </c>
      <c r="B23" s="1134" t="s">
        <v>717</v>
      </c>
      <c r="C23" s="816">
        <f>SUM(C10:C22)/13</f>
        <v>1995818299.2522304</v>
      </c>
      <c r="D23" s="800">
        <f>SUM(D10:D22)/13</f>
        <v>0</v>
      </c>
      <c r="E23" s="800">
        <f>SUM(E10:E22)/13</f>
        <v>0</v>
      </c>
      <c r="F23" s="800">
        <f>SUM(F10:F22)/13</f>
        <v>0</v>
      </c>
      <c r="G23" s="852">
        <f>SUM(G10:G22)/13</f>
        <v>1995818299.2522304</v>
      </c>
      <c r="H23" s="749"/>
      <c r="I23" s="749"/>
      <c r="J23" s="749"/>
      <c r="K23" s="749"/>
      <c r="L23" s="749"/>
    </row>
    <row r="24" spans="1:12" ht="13.5" thickTop="1">
      <c r="A24" s="750"/>
      <c r="B24" s="801"/>
      <c r="C24" s="802"/>
      <c r="D24" s="803"/>
      <c r="E24" s="803"/>
      <c r="F24" s="803"/>
      <c r="G24" s="802"/>
      <c r="H24" s="802"/>
      <c r="I24" s="749"/>
      <c r="J24" s="749"/>
      <c r="K24" s="749"/>
      <c r="L24" s="749"/>
    </row>
    <row r="25" spans="1:12" ht="12.75" customHeight="1">
      <c r="A25" s="750"/>
      <c r="B25" s="783"/>
      <c r="C25" s="1226" t="s">
        <v>540</v>
      </c>
      <c r="D25" s="1227"/>
      <c r="E25" s="1227"/>
      <c r="F25" s="1227"/>
      <c r="G25" s="1227"/>
      <c r="H25" s="1228"/>
      <c r="I25" s="749"/>
      <c r="J25" s="749"/>
      <c r="K25" s="749"/>
      <c r="L25" s="749"/>
    </row>
    <row r="26" spans="1:12" s="843" customFormat="1" ht="38.25">
      <c r="A26" s="841" t="s">
        <v>701</v>
      </c>
      <c r="B26" s="788" t="s">
        <v>702</v>
      </c>
      <c r="C26" s="811" t="s">
        <v>741</v>
      </c>
      <c r="D26" s="789" t="s">
        <v>742</v>
      </c>
      <c r="E26" s="789" t="s">
        <v>756</v>
      </c>
      <c r="F26" s="789" t="s">
        <v>757</v>
      </c>
      <c r="G26" s="789" t="s">
        <v>743</v>
      </c>
      <c r="H26" s="842" t="s">
        <v>755</v>
      </c>
      <c r="I26" s="749"/>
      <c r="J26" s="749"/>
      <c r="K26" s="749"/>
      <c r="L26" s="749"/>
    </row>
    <row r="27" spans="1:12" s="846" customFormat="1">
      <c r="A27" s="844"/>
      <c r="B27" s="791" t="s">
        <v>706</v>
      </c>
      <c r="C27" s="812" t="s">
        <v>723</v>
      </c>
      <c r="D27" s="785" t="s">
        <v>724</v>
      </c>
      <c r="E27" s="785" t="s">
        <v>707</v>
      </c>
      <c r="F27" s="785" t="s">
        <v>708</v>
      </c>
      <c r="G27" s="785" t="s">
        <v>744</v>
      </c>
      <c r="H27" s="845" t="s">
        <v>745</v>
      </c>
      <c r="I27" s="749"/>
      <c r="J27" s="749"/>
      <c r="K27" s="749"/>
      <c r="L27" s="749"/>
    </row>
    <row r="28" spans="1:12" s="846" customFormat="1" ht="44.25" customHeight="1">
      <c r="A28" s="844"/>
      <c r="B28" s="791" t="s">
        <v>712</v>
      </c>
      <c r="C28" s="847" t="s">
        <v>746</v>
      </c>
      <c r="D28" s="793" t="s">
        <v>747</v>
      </c>
      <c r="E28" s="793" t="s">
        <v>748</v>
      </c>
      <c r="F28" s="793" t="s">
        <v>749</v>
      </c>
      <c r="G28" s="793" t="s">
        <v>750</v>
      </c>
      <c r="H28" s="853"/>
      <c r="I28" s="749"/>
      <c r="J28" s="749"/>
      <c r="K28" s="749"/>
      <c r="L28" s="749"/>
    </row>
    <row r="29" spans="1:12">
      <c r="A29" s="844">
        <f>+A23+1</f>
        <v>15</v>
      </c>
      <c r="B29" s="794" t="s">
        <v>713</v>
      </c>
      <c r="C29" s="849">
        <v>0</v>
      </c>
      <c r="D29" s="849">
        <v>0</v>
      </c>
      <c r="E29" s="849">
        <v>1523250000</v>
      </c>
      <c r="F29" s="849">
        <v>0</v>
      </c>
      <c r="G29" s="849">
        <v>0</v>
      </c>
      <c r="H29" s="850">
        <f>+C29-D29+E29+F29-G29</f>
        <v>1523250000</v>
      </c>
      <c r="I29" s="749"/>
      <c r="J29" s="749"/>
      <c r="K29" s="749"/>
      <c r="L29" s="749"/>
    </row>
    <row r="30" spans="1:12">
      <c r="A30" s="844">
        <f>+A29+1</f>
        <v>16</v>
      </c>
      <c r="B30" s="794" t="s">
        <v>574</v>
      </c>
      <c r="C30" s="849">
        <v>0</v>
      </c>
      <c r="D30" s="849">
        <v>0</v>
      </c>
      <c r="E30" s="849">
        <v>1523250000</v>
      </c>
      <c r="F30" s="849">
        <v>0</v>
      </c>
      <c r="G30" s="849">
        <v>0</v>
      </c>
      <c r="H30" s="850">
        <f t="shared" ref="H30:H41" si="2">+C30-D30+E30+F30-G30</f>
        <v>1523250000</v>
      </c>
      <c r="I30" s="749"/>
      <c r="J30" s="749"/>
      <c r="K30" s="749"/>
      <c r="L30" s="749"/>
    </row>
    <row r="31" spans="1:12">
      <c r="A31" s="844">
        <f t="shared" ref="A31:A42" si="3">+A30+1</f>
        <v>17</v>
      </c>
      <c r="B31" s="796" t="s">
        <v>575</v>
      </c>
      <c r="C31" s="849">
        <v>0</v>
      </c>
      <c r="D31" s="849">
        <v>0</v>
      </c>
      <c r="E31" s="849">
        <v>1523250000</v>
      </c>
      <c r="F31" s="849">
        <v>0</v>
      </c>
      <c r="G31" s="849">
        <v>0</v>
      </c>
      <c r="H31" s="850">
        <f t="shared" si="2"/>
        <v>1523250000</v>
      </c>
      <c r="I31" s="749"/>
      <c r="J31" s="749"/>
      <c r="K31" s="749"/>
      <c r="L31" s="749"/>
    </row>
    <row r="32" spans="1:12">
      <c r="A32" s="844">
        <f t="shared" si="3"/>
        <v>18</v>
      </c>
      <c r="B32" s="796" t="s">
        <v>714</v>
      </c>
      <c r="C32" s="849">
        <v>0</v>
      </c>
      <c r="D32" s="849">
        <v>0</v>
      </c>
      <c r="E32" s="849">
        <v>1503250000</v>
      </c>
      <c r="F32" s="849">
        <v>0</v>
      </c>
      <c r="G32" s="849">
        <v>0</v>
      </c>
      <c r="H32" s="850">
        <f t="shared" si="2"/>
        <v>1503250000</v>
      </c>
      <c r="I32" s="749"/>
      <c r="J32" s="749"/>
      <c r="K32" s="749"/>
      <c r="L32" s="749"/>
    </row>
    <row r="33" spans="1:12">
      <c r="A33" s="844">
        <f t="shared" si="3"/>
        <v>19</v>
      </c>
      <c r="B33" s="796" t="s">
        <v>577</v>
      </c>
      <c r="C33" s="849">
        <v>0</v>
      </c>
      <c r="D33" s="849">
        <v>0</v>
      </c>
      <c r="E33" s="849">
        <v>1503250000</v>
      </c>
      <c r="F33" s="849">
        <v>0</v>
      </c>
      <c r="G33" s="849">
        <v>0</v>
      </c>
      <c r="H33" s="850">
        <f t="shared" si="2"/>
        <v>1503250000</v>
      </c>
      <c r="I33" s="749"/>
      <c r="J33" s="749"/>
      <c r="K33" s="749"/>
      <c r="L33" s="749"/>
    </row>
    <row r="34" spans="1:12">
      <c r="A34" s="844">
        <f t="shared" si="3"/>
        <v>20</v>
      </c>
      <c r="B34" s="796" t="s">
        <v>578</v>
      </c>
      <c r="C34" s="849">
        <v>0</v>
      </c>
      <c r="D34" s="849">
        <v>0</v>
      </c>
      <c r="E34" s="849">
        <v>1613250000</v>
      </c>
      <c r="F34" s="849">
        <v>0</v>
      </c>
      <c r="G34" s="849">
        <v>0</v>
      </c>
      <c r="H34" s="850">
        <f>+C34-D34+E34+F34-G34</f>
        <v>1613250000</v>
      </c>
      <c r="I34" s="749"/>
      <c r="J34" s="749"/>
      <c r="K34" s="749"/>
      <c r="L34" s="749"/>
    </row>
    <row r="35" spans="1:12">
      <c r="A35" s="844">
        <f t="shared" si="3"/>
        <v>21</v>
      </c>
      <c r="B35" s="796" t="s">
        <v>579</v>
      </c>
      <c r="C35" s="849">
        <v>0</v>
      </c>
      <c r="D35" s="849">
        <v>0</v>
      </c>
      <c r="E35" s="849">
        <v>1599250000</v>
      </c>
      <c r="F35" s="849">
        <v>0</v>
      </c>
      <c r="G35" s="849">
        <v>0</v>
      </c>
      <c r="H35" s="850">
        <f t="shared" si="2"/>
        <v>1599250000</v>
      </c>
      <c r="I35" s="749"/>
      <c r="J35" s="749"/>
      <c r="K35" s="749"/>
      <c r="L35" s="749"/>
    </row>
    <row r="36" spans="1:12">
      <c r="A36" s="844">
        <f t="shared" si="3"/>
        <v>22</v>
      </c>
      <c r="B36" s="796" t="s">
        <v>580</v>
      </c>
      <c r="C36" s="849">
        <v>0</v>
      </c>
      <c r="D36" s="849">
        <v>0</v>
      </c>
      <c r="E36" s="849">
        <v>1599250000</v>
      </c>
      <c r="F36" s="849">
        <v>0</v>
      </c>
      <c r="G36" s="849">
        <v>0</v>
      </c>
      <c r="H36" s="850">
        <f t="shared" si="2"/>
        <v>1599250000</v>
      </c>
      <c r="I36" s="749"/>
      <c r="J36" s="749"/>
      <c r="K36" s="749"/>
      <c r="L36" s="749"/>
    </row>
    <row r="37" spans="1:12">
      <c r="A37" s="844">
        <f t="shared" si="3"/>
        <v>23</v>
      </c>
      <c r="B37" s="796" t="s">
        <v>715</v>
      </c>
      <c r="C37" s="849">
        <v>0</v>
      </c>
      <c r="D37" s="849">
        <v>0</v>
      </c>
      <c r="E37" s="849">
        <v>1599250000</v>
      </c>
      <c r="F37" s="849">
        <v>0</v>
      </c>
      <c r="G37" s="849">
        <v>0</v>
      </c>
      <c r="H37" s="850">
        <f t="shared" si="2"/>
        <v>1599250000</v>
      </c>
      <c r="I37" s="749"/>
      <c r="J37" s="749"/>
      <c r="K37" s="749"/>
      <c r="L37" s="749"/>
    </row>
    <row r="38" spans="1:12">
      <c r="A38" s="844">
        <f t="shared" si="3"/>
        <v>24</v>
      </c>
      <c r="B38" s="796" t="s">
        <v>582</v>
      </c>
      <c r="C38" s="849">
        <v>0</v>
      </c>
      <c r="D38" s="849">
        <v>0</v>
      </c>
      <c r="E38" s="849">
        <v>1626250000</v>
      </c>
      <c r="F38" s="849">
        <v>0</v>
      </c>
      <c r="G38" s="849">
        <v>0</v>
      </c>
      <c r="H38" s="850">
        <f t="shared" si="2"/>
        <v>1626250000</v>
      </c>
      <c r="I38" s="749"/>
      <c r="J38" s="749"/>
      <c r="K38" s="749"/>
      <c r="L38" s="749"/>
    </row>
    <row r="39" spans="1:12">
      <c r="A39" s="844">
        <f t="shared" si="3"/>
        <v>25</v>
      </c>
      <c r="B39" s="796" t="s">
        <v>583</v>
      </c>
      <c r="C39" s="849">
        <v>0</v>
      </c>
      <c r="D39" s="849">
        <v>0</v>
      </c>
      <c r="E39" s="849">
        <v>1778250000</v>
      </c>
      <c r="F39" s="849">
        <v>0</v>
      </c>
      <c r="G39" s="849">
        <v>0</v>
      </c>
      <c r="H39" s="850">
        <f t="shared" si="2"/>
        <v>1778250000</v>
      </c>
      <c r="I39" s="749"/>
      <c r="J39" s="749"/>
      <c r="K39" s="749"/>
      <c r="L39" s="749"/>
    </row>
    <row r="40" spans="1:12">
      <c r="A40" s="844">
        <f t="shared" si="3"/>
        <v>26</v>
      </c>
      <c r="B40" s="796" t="s">
        <v>584</v>
      </c>
      <c r="C40" s="849">
        <v>0</v>
      </c>
      <c r="D40" s="849">
        <v>0</v>
      </c>
      <c r="E40" s="849">
        <v>1761250000</v>
      </c>
      <c r="F40" s="849">
        <v>0</v>
      </c>
      <c r="G40" s="849">
        <v>0</v>
      </c>
      <c r="H40" s="850">
        <f t="shared" si="2"/>
        <v>1761250000</v>
      </c>
      <c r="I40" s="749"/>
      <c r="J40" s="749"/>
      <c r="K40" s="749"/>
      <c r="L40" s="749"/>
    </row>
    <row r="41" spans="1:12">
      <c r="A41" s="851">
        <f t="shared" si="3"/>
        <v>27</v>
      </c>
      <c r="B41" s="798" t="s">
        <v>716</v>
      </c>
      <c r="C41" s="849">
        <v>0</v>
      </c>
      <c r="D41" s="849">
        <v>0</v>
      </c>
      <c r="E41" s="849">
        <v>1785250000</v>
      </c>
      <c r="F41" s="849">
        <v>0</v>
      </c>
      <c r="G41" s="849">
        <v>0</v>
      </c>
      <c r="H41" s="850">
        <f t="shared" si="2"/>
        <v>1785250000</v>
      </c>
      <c r="I41" s="749"/>
      <c r="J41" s="749"/>
      <c r="K41" s="749"/>
      <c r="L41" s="749"/>
    </row>
    <row r="42" spans="1:12" ht="13.5" thickBot="1">
      <c r="A42" s="855">
        <f t="shared" si="3"/>
        <v>28</v>
      </c>
      <c r="B42" s="805" t="s">
        <v>717</v>
      </c>
      <c r="C42" s="816">
        <f t="shared" ref="C42:H42" si="4">SUM(C29:C41)/13</f>
        <v>0</v>
      </c>
      <c r="D42" s="800">
        <f t="shared" si="4"/>
        <v>0</v>
      </c>
      <c r="E42" s="800">
        <f t="shared" si="4"/>
        <v>1610634615.3846154</v>
      </c>
      <c r="F42" s="800">
        <f t="shared" si="4"/>
        <v>0</v>
      </c>
      <c r="G42" s="800">
        <f t="shared" si="4"/>
        <v>0</v>
      </c>
      <c r="H42" s="852">
        <f t="shared" si="4"/>
        <v>1610634615.3846154</v>
      </c>
      <c r="I42" s="749"/>
      <c r="J42" s="749"/>
      <c r="K42" s="749"/>
      <c r="L42" s="749"/>
    </row>
    <row r="43" spans="1:12" ht="13.5" thickTop="1">
      <c r="A43" s="836"/>
      <c r="B43" s="856"/>
      <c r="C43" s="857"/>
      <c r="D43" s="858"/>
      <c r="E43" s="858"/>
      <c r="F43" s="858"/>
      <c r="G43" s="857"/>
      <c r="H43" s="857"/>
      <c r="I43" s="749"/>
      <c r="J43" s="749"/>
      <c r="K43" s="749"/>
      <c r="L43" s="749"/>
    </row>
    <row r="44" spans="1:12" ht="12.75" customHeight="1">
      <c r="A44" s="859" t="s">
        <v>751</v>
      </c>
      <c r="F44" s="860"/>
      <c r="G44" s="860"/>
      <c r="H44" s="860"/>
      <c r="I44" s="749"/>
      <c r="J44" s="749"/>
      <c r="K44" s="749"/>
    </row>
    <row r="45" spans="1:12">
      <c r="E45" s="860"/>
      <c r="F45" s="860"/>
      <c r="G45" s="860"/>
      <c r="H45" s="860"/>
      <c r="J45" s="856"/>
    </row>
    <row r="46" spans="1:12" ht="15">
      <c r="A46" s="862" t="s">
        <v>340</v>
      </c>
      <c r="E46" s="860"/>
      <c r="F46" s="860"/>
      <c r="G46" s="860"/>
      <c r="H46" s="750"/>
    </row>
    <row r="47" spans="1:12" ht="15">
      <c r="A47" s="862"/>
      <c r="B47" s="863" t="s">
        <v>706</v>
      </c>
      <c r="C47" s="863" t="s">
        <v>723</v>
      </c>
      <c r="D47" s="864" t="s">
        <v>724</v>
      </c>
      <c r="E47" s="863" t="s">
        <v>707</v>
      </c>
      <c r="F47" s="864" t="s">
        <v>708</v>
      </c>
      <c r="G47" s="863" t="s">
        <v>744</v>
      </c>
      <c r="H47" s="863" t="s">
        <v>752</v>
      </c>
    </row>
    <row r="48" spans="1:12">
      <c r="A48" s="496">
        <f>+A42+1</f>
        <v>29</v>
      </c>
      <c r="B48" s="865" t="str">
        <f>"Annual Interest Expense for "&amp;TCOS!L4</f>
        <v>Annual Interest Expense for 2025</v>
      </c>
      <c r="C48" s="866"/>
      <c r="D48" s="867"/>
      <c r="E48" s="868"/>
      <c r="F48" s="868"/>
      <c r="G48" s="868"/>
      <c r="H48" s="868"/>
      <c r="I48" s="868"/>
      <c r="J48" s="868"/>
      <c r="K48" s="868"/>
      <c r="L48" s="868"/>
    </row>
    <row r="49" spans="1:12">
      <c r="A49" s="496">
        <f>+A48+1</f>
        <v>30</v>
      </c>
      <c r="B49" s="923" t="s">
        <v>771</v>
      </c>
      <c r="C49" s="866"/>
      <c r="D49" s="867"/>
      <c r="E49" s="870">
        <v>65340336.380000003</v>
      </c>
      <c r="F49" s="868"/>
      <c r="G49" s="868"/>
      <c r="H49" s="868"/>
      <c r="I49" s="868"/>
      <c r="J49" s="868"/>
      <c r="K49" s="868"/>
      <c r="L49" s="868"/>
    </row>
    <row r="50" spans="1:12" ht="28.5" customHeight="1">
      <c r="A50" s="496">
        <f t="shared" ref="A50:A55" si="5">+A49+1</f>
        <v>31</v>
      </c>
      <c r="B50" s="1229" t="str">
        <f>"Less: Total Hedge Gain/Expense Accumulated from p 256-257, col. (i) of FERC Form 1  included in Ln "&amp;A49&amp;" and shown in "&amp;A68&amp;" below."</f>
        <v>Less: Total Hedge Gain/Expense Accumulated from p 256-257, col. (i) of FERC Form 1  included in Ln 30 and shown in 43 below.</v>
      </c>
      <c r="C50" s="1230"/>
      <c r="D50" s="867"/>
      <c r="E50" s="866">
        <f>+C68</f>
        <v>0</v>
      </c>
      <c r="F50" s="868"/>
      <c r="G50" s="868"/>
      <c r="H50" s="868"/>
      <c r="I50" s="868"/>
      <c r="J50" s="868"/>
      <c r="K50" s="868"/>
      <c r="L50" s="868"/>
    </row>
    <row r="51" spans="1:12">
      <c r="A51" s="496">
        <f t="shared" si="5"/>
        <v>32</v>
      </c>
      <c r="B51" s="923" t="s">
        <v>772</v>
      </c>
      <c r="C51" s="868"/>
      <c r="D51" s="868"/>
      <c r="E51" s="870">
        <v>965037.68</v>
      </c>
      <c r="F51" s="868"/>
      <c r="G51" s="868"/>
      <c r="H51" s="868"/>
      <c r="I51" s="868"/>
      <c r="J51" s="868"/>
    </row>
    <row r="52" spans="1:12">
      <c r="A52" s="496">
        <f t="shared" si="5"/>
        <v>33</v>
      </c>
      <c r="B52" s="923" t="s">
        <v>773</v>
      </c>
      <c r="C52" s="871"/>
      <c r="D52" s="867"/>
      <c r="E52" s="870"/>
      <c r="F52" s="868"/>
      <c r="G52" s="868"/>
      <c r="H52" s="868"/>
      <c r="I52" s="868"/>
      <c r="J52" s="868"/>
    </row>
    <row r="53" spans="1:12">
      <c r="A53" s="496">
        <f t="shared" si="5"/>
        <v>34</v>
      </c>
      <c r="B53" s="923" t="s">
        <v>774</v>
      </c>
      <c r="C53" s="871"/>
      <c r="D53" s="867"/>
      <c r="E53" s="870">
        <v>30859.68</v>
      </c>
      <c r="F53" s="868"/>
      <c r="G53" s="868"/>
      <c r="H53" s="868"/>
      <c r="I53" s="868"/>
      <c r="J53" s="868"/>
    </row>
    <row r="54" spans="1:12" ht="13.5" thickBot="1">
      <c r="A54" s="496">
        <f t="shared" si="5"/>
        <v>35</v>
      </c>
      <c r="B54" s="923" t="s">
        <v>775</v>
      </c>
      <c r="C54" s="871"/>
      <c r="D54" s="867"/>
      <c r="E54" s="872"/>
      <c r="F54" s="868"/>
      <c r="G54" s="868"/>
      <c r="H54" s="868"/>
      <c r="I54" s="868"/>
      <c r="J54" s="868"/>
    </row>
    <row r="55" spans="1:12">
      <c r="A55" s="496">
        <f t="shared" si="5"/>
        <v>36</v>
      </c>
      <c r="B55" s="865" t="str">
        <f>"Total Interest Expense (Ln "&amp;A49&amp;" - "&amp;A50&amp;" + "&amp;A51&amp;" + "&amp;A52&amp;" - "&amp;A53&amp;" - "&amp;A54&amp;")"</f>
        <v>Total Interest Expense (Ln 30 - 31 + 32 + 33 - 34 - 35)</v>
      </c>
      <c r="C55" s="873"/>
      <c r="D55" s="874"/>
      <c r="E55" s="875">
        <f>+E49-E50+E51+E52-E53-E54</f>
        <v>66274514.380000003</v>
      </c>
      <c r="F55" s="868"/>
      <c r="G55" s="868"/>
      <c r="H55" s="868"/>
      <c r="I55" s="868"/>
      <c r="J55" s="868"/>
    </row>
    <row r="56" spans="1:12" ht="13.5" thickBot="1">
      <c r="A56" s="496"/>
      <c r="B56" s="869"/>
      <c r="C56" s="871"/>
      <c r="D56" s="867"/>
      <c r="E56" s="876"/>
      <c r="F56" s="868"/>
      <c r="G56" s="868"/>
      <c r="H56" s="868"/>
      <c r="I56" s="868"/>
      <c r="J56" s="868"/>
    </row>
    <row r="57" spans="1:12" ht="13.5" thickBot="1">
      <c r="A57" s="496">
        <f>+A55+1</f>
        <v>37</v>
      </c>
      <c r="B57" s="865" t="str">
        <f>"Average Cost of Debt for "&amp;TCOS!L4&amp;" (Ln "&amp;A55&amp;"/ ln "&amp;A42&amp;" (g))"</f>
        <v>Average Cost of Debt for 2025 (Ln 36/ ln 28 (g))</v>
      </c>
      <c r="C57" s="873"/>
      <c r="D57" s="867"/>
      <c r="E57" s="877">
        <f>+E55/H42</f>
        <v>4.1148075266080018E-2</v>
      </c>
      <c r="F57" s="868"/>
      <c r="G57" s="868"/>
      <c r="H57" s="868"/>
      <c r="I57" s="868"/>
      <c r="J57" s="868"/>
    </row>
    <row r="58" spans="1:12">
      <c r="A58" s="878"/>
      <c r="B58" s="869"/>
      <c r="C58" s="871"/>
      <c r="D58" s="867"/>
      <c r="E58" s="871"/>
      <c r="F58" s="868"/>
      <c r="G58" s="868"/>
      <c r="H58" s="868"/>
      <c r="I58" s="868"/>
      <c r="J58" s="868"/>
    </row>
    <row r="59" spans="1:12" ht="16.5" customHeight="1">
      <c r="A59" s="879"/>
      <c r="B59" s="1231" t="s">
        <v>753</v>
      </c>
      <c r="C59" s="1231"/>
      <c r="D59" s="1231"/>
      <c r="E59" s="1231"/>
      <c r="F59" s="880"/>
      <c r="G59" s="868"/>
      <c r="H59" s="868"/>
      <c r="I59" s="868"/>
      <c r="J59" s="868"/>
    </row>
    <row r="60" spans="1:12" ht="21" customHeight="1">
      <c r="A60" s="881">
        <f>+A57+1</f>
        <v>38</v>
      </c>
      <c r="B60" s="1232" t="str">
        <f>""&amp;A4&amp;" may not include costs (or gains) related to interest hedging activities."</f>
        <v>AEP Indiana Michigan Transmission Company may not include costs (or gains) related to interest hedging activities.</v>
      </c>
      <c r="C60" s="1232"/>
      <c r="D60" s="1232"/>
      <c r="E60" s="1232"/>
      <c r="F60" s="1232"/>
      <c r="G60" s="882"/>
      <c r="H60" s="882"/>
      <c r="I60" s="868"/>
      <c r="J60" s="868"/>
    </row>
    <row r="61" spans="1:12">
      <c r="A61" s="883"/>
      <c r="B61" s="884"/>
      <c r="C61" s="884"/>
      <c r="D61" s="884"/>
      <c r="E61" s="1233" t="s">
        <v>227</v>
      </c>
      <c r="F61" s="1233"/>
      <c r="G61" s="749"/>
      <c r="H61" s="749"/>
      <c r="I61" s="868"/>
      <c r="J61" s="868"/>
    </row>
    <row r="62" spans="1:12" ht="38.25">
      <c r="A62" s="496"/>
      <c r="B62" s="886" t="s">
        <v>228</v>
      </c>
      <c r="C62" s="886" t="str">
        <f>"(Amortization of (Gain)/Loss for "&amp;TCOS!L4</f>
        <v>(Amortization of (Gain)/Loss for 2025</v>
      </c>
      <c r="D62" s="885" t="s">
        <v>229</v>
      </c>
      <c r="E62" s="885" t="s">
        <v>86</v>
      </c>
      <c r="F62" s="885" t="s">
        <v>88</v>
      </c>
      <c r="G62" s="749"/>
      <c r="H62" s="749"/>
      <c r="I62" s="868"/>
      <c r="J62" s="868"/>
    </row>
    <row r="63" spans="1:12">
      <c r="A63" s="496">
        <f>+A60+1</f>
        <v>39</v>
      </c>
      <c r="B63" s="887"/>
      <c r="C63" s="854"/>
      <c r="D63" s="887"/>
      <c r="E63" s="887"/>
      <c r="F63" s="888"/>
      <c r="G63" s="749"/>
      <c r="H63" s="749"/>
      <c r="I63" s="868"/>
      <c r="J63" s="868"/>
    </row>
    <row r="64" spans="1:12">
      <c r="A64" s="496">
        <f>+A63+1</f>
        <v>40</v>
      </c>
      <c r="B64" s="887"/>
      <c r="C64" s="854"/>
      <c r="D64" s="887"/>
      <c r="E64" s="887"/>
      <c r="F64" s="888"/>
      <c r="G64" s="889"/>
      <c r="H64" s="889"/>
      <c r="I64" s="868"/>
      <c r="J64" s="868"/>
    </row>
    <row r="65" spans="1:10">
      <c r="A65" s="496">
        <f>+A64+1</f>
        <v>41</v>
      </c>
      <c r="B65" s="887"/>
      <c r="C65" s="854"/>
      <c r="D65" s="890"/>
      <c r="E65" s="890"/>
      <c r="F65" s="888"/>
      <c r="G65" s="889"/>
      <c r="H65" s="889"/>
      <c r="I65" s="868"/>
      <c r="J65" s="868"/>
    </row>
    <row r="66" spans="1:10">
      <c r="A66" s="496">
        <f>+A65+1</f>
        <v>42</v>
      </c>
      <c r="B66" s="887"/>
      <c r="C66" s="854"/>
      <c r="D66" s="890"/>
      <c r="E66" s="890"/>
      <c r="F66" s="891"/>
      <c r="G66" s="892"/>
      <c r="H66" s="893"/>
      <c r="I66" s="868"/>
      <c r="J66" s="868"/>
    </row>
    <row r="67" spans="1:10">
      <c r="A67" s="496"/>
      <c r="B67" s="868"/>
      <c r="C67" s="894"/>
      <c r="D67" s="894"/>
      <c r="E67" s="895"/>
      <c r="F67" s="868"/>
      <c r="G67" s="868"/>
      <c r="H67" s="868"/>
    </row>
    <row r="68" spans="1:10">
      <c r="A68" s="496">
        <f>+A66+1</f>
        <v>43</v>
      </c>
      <c r="B68" s="896" t="s">
        <v>253</v>
      </c>
      <c r="C68" s="876">
        <f>SUM(C63:C67)</f>
        <v>0</v>
      </c>
      <c r="D68" s="876">
        <f>SUM(D63:D67)</f>
        <v>0</v>
      </c>
      <c r="E68" s="876">
        <f>SUM(E63:E67)</f>
        <v>0</v>
      </c>
      <c r="F68" s="897">
        <f>SUM(F63:F67)</f>
        <v>0</v>
      </c>
      <c r="G68" s="868"/>
      <c r="H68" s="868"/>
    </row>
    <row r="69" spans="1:10">
      <c r="A69" s="496"/>
      <c r="B69" s="869"/>
      <c r="C69" s="876"/>
      <c r="D69" s="876"/>
      <c r="E69" s="876"/>
      <c r="F69" s="868"/>
      <c r="G69" s="868"/>
      <c r="H69" s="868"/>
    </row>
    <row r="70" spans="1:10">
      <c r="A70" s="496"/>
      <c r="B70" s="865"/>
      <c r="C70" s="871"/>
      <c r="D70" s="867"/>
      <c r="E70" s="898"/>
      <c r="F70" s="868"/>
      <c r="G70" s="868"/>
      <c r="H70" s="868"/>
    </row>
    <row r="71" spans="1:10">
      <c r="A71" s="496"/>
      <c r="B71" s="865"/>
      <c r="C71" s="871"/>
      <c r="D71" s="867"/>
      <c r="E71" s="898"/>
      <c r="F71" s="868"/>
      <c r="G71" s="868"/>
      <c r="H71" s="868"/>
    </row>
    <row r="72" spans="1:10" ht="15">
      <c r="A72" s="899" t="s">
        <v>345</v>
      </c>
      <c r="B72" s="865"/>
      <c r="C72" s="871"/>
      <c r="D72" s="867"/>
      <c r="E72" s="898"/>
      <c r="F72" s="868"/>
      <c r="G72" s="868"/>
      <c r="H72" s="868"/>
    </row>
    <row r="73" spans="1:10">
      <c r="A73" s="496"/>
      <c r="B73" s="865"/>
      <c r="C73" s="871"/>
      <c r="D73" s="867"/>
      <c r="E73" s="898"/>
      <c r="F73" s="868"/>
      <c r="G73" s="868"/>
      <c r="H73" s="868"/>
    </row>
    <row r="74" spans="1:10">
      <c r="A74" s="900">
        <f>+A68+1</f>
        <v>44</v>
      </c>
      <c r="B74" s="867" t="str">
        <f>"Balance of Preferred Stock (Line "&amp;A23&amp;" (c))"</f>
        <v>Balance of Preferred Stock (Line 14 (c))</v>
      </c>
      <c r="E74" s="901">
        <f>+D23</f>
        <v>0</v>
      </c>
    </row>
    <row r="75" spans="1:10">
      <c r="A75" s="496">
        <f>+A74+1</f>
        <v>45</v>
      </c>
      <c r="B75" s="867" t="s">
        <v>754</v>
      </c>
      <c r="E75" s="891"/>
    </row>
    <row r="76" spans="1:10">
      <c r="A76" s="496">
        <f>+A75+1</f>
        <v>46</v>
      </c>
      <c r="B76" s="867" t="str">
        <f>"Average Cost of Preferred Stock (Ln "&amp;A75&amp;" / ln "&amp;A74&amp;")"</f>
        <v>Average Cost of Preferred Stock (Ln 45 / ln 44)</v>
      </c>
      <c r="E76" s="902" t="e">
        <f>+E75/E74</f>
        <v>#DIV/0!</v>
      </c>
    </row>
  </sheetData>
  <mergeCells count="10">
    <mergeCell ref="B50:C50"/>
    <mergeCell ref="B59:E59"/>
    <mergeCell ref="B60:F60"/>
    <mergeCell ref="E61:F61"/>
    <mergeCell ref="A4:G4"/>
    <mergeCell ref="A1:G1"/>
    <mergeCell ref="A2:G2"/>
    <mergeCell ref="A3:G3"/>
    <mergeCell ref="C6:G6"/>
    <mergeCell ref="C25:H25"/>
  </mergeCells>
  <pageMargins left="0.7" right="0.7" top="0.75" bottom="0.75" header="0.3" footer="0.3"/>
  <pageSetup scale="66" fitToHeight="0" orientation="landscape" cellComments="asDisplayed" r:id="rId1"/>
  <headerFooter>
    <oddHeader xml:space="preserve">&amp;L&amp;"Times New Roman,Bold Italic"Privileged and Confidential 
Subject to FERC Rules 602 and 606 
&amp;RPage &amp;P of &amp;N
</oddHeader>
  </headerFooter>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90"/>
  <sheetViews>
    <sheetView tabSelected="1" topLeftCell="A42" zoomScale="90" zoomScaleNormal="90" zoomScaleSheetLayoutView="70" workbookViewId="0">
      <selection activeCell="O54" sqref="O54"/>
    </sheetView>
  </sheetViews>
  <sheetFormatPr defaultColWidth="11.42578125" defaultRowHeight="12.75"/>
  <cols>
    <col min="1" max="1" width="10.28515625" style="817" customWidth="1"/>
    <col min="2" max="2" width="57.42578125" style="3" customWidth="1"/>
    <col min="3" max="3" width="26.7109375" style="3" bestFit="1" customWidth="1"/>
    <col min="4" max="4" width="25" style="3" customWidth="1"/>
    <col min="5" max="11" width="20.28515625" style="3" customWidth="1"/>
    <col min="12" max="12" width="20" style="3" customWidth="1"/>
    <col min="13" max="14" width="15.140625" style="3" customWidth="1"/>
    <col min="15" max="16384" width="11.42578125" style="3"/>
  </cols>
  <sheetData>
    <row r="1" spans="1:12" ht="15">
      <c r="A1" s="1161" t="str">
        <f>TCOS!F5</f>
        <v>AEPTCo subsidiaries in PJM</v>
      </c>
      <c r="B1" s="1161" t="s">
        <v>329</v>
      </c>
      <c r="C1" s="1161" t="s">
        <v>329</v>
      </c>
      <c r="D1" s="1161" t="s">
        <v>329</v>
      </c>
      <c r="E1" s="1161" t="s">
        <v>329</v>
      </c>
      <c r="F1" s="1161" t="s">
        <v>329</v>
      </c>
      <c r="G1" s="1161" t="s">
        <v>329</v>
      </c>
      <c r="H1" s="47"/>
      <c r="I1" s="47"/>
    </row>
    <row r="2" spans="1:12" ht="15">
      <c r="A2" s="1162" t="str">
        <f>"Cost of Service Formula Rate Using Actual/Projected FF1 Balances"</f>
        <v>Cost of Service Formula Rate Using Actual/Projected FF1 Balances</v>
      </c>
      <c r="B2" s="1162"/>
      <c r="C2" s="1162"/>
      <c r="D2" s="1162"/>
      <c r="E2" s="1162"/>
      <c r="F2" s="1162"/>
      <c r="G2" s="1162"/>
      <c r="H2" s="47"/>
      <c r="I2" s="47"/>
      <c r="J2" s="47"/>
      <c r="L2" s="782"/>
    </row>
    <row r="3" spans="1:12" ht="15">
      <c r="A3" s="1162" t="s">
        <v>699</v>
      </c>
      <c r="B3" s="1162"/>
      <c r="C3" s="1162"/>
      <c r="D3" s="1162"/>
      <c r="E3" s="1162"/>
      <c r="F3" s="1162"/>
      <c r="G3" s="1162"/>
      <c r="H3" s="47"/>
      <c r="I3" s="47"/>
      <c r="J3" s="47"/>
    </row>
    <row r="4" spans="1:12" ht="15">
      <c r="A4" s="1163" t="str">
        <f>TCOS!F9</f>
        <v>AEP Indiana Michigan Transmission Company</v>
      </c>
      <c r="B4" s="1163"/>
      <c r="C4" s="1163"/>
      <c r="D4" s="1163"/>
      <c r="E4" s="1163"/>
      <c r="F4" s="1163"/>
      <c r="G4" s="1163"/>
      <c r="H4" s="47"/>
      <c r="I4" s="47"/>
      <c r="J4" s="47"/>
    </row>
    <row r="5" spans="1:12">
      <c r="A5" s="47"/>
      <c r="B5" s="783"/>
      <c r="C5" s="783"/>
      <c r="D5" s="783"/>
      <c r="E5" s="784"/>
      <c r="F5" s="785"/>
      <c r="H5" s="785"/>
      <c r="J5" s="785"/>
      <c r="L5" s="785"/>
    </row>
    <row r="6" spans="1:12" ht="12.75" customHeight="1">
      <c r="A6" s="47"/>
      <c r="B6" s="783"/>
      <c r="C6" s="1167" t="s">
        <v>700</v>
      </c>
      <c r="D6" s="1168"/>
      <c r="E6" s="1168"/>
      <c r="F6" s="1168"/>
      <c r="G6" s="1168"/>
      <c r="H6" s="1168"/>
      <c r="I6" s="1169"/>
      <c r="J6" s="786"/>
      <c r="K6" s="786"/>
    </row>
    <row r="7" spans="1:12" s="524" customFormat="1" ht="25.5">
      <c r="A7" s="787" t="s">
        <v>701</v>
      </c>
      <c r="B7" s="788" t="s">
        <v>702</v>
      </c>
      <c r="C7" s="789" t="s">
        <v>415</v>
      </c>
      <c r="D7" s="789" t="s">
        <v>703</v>
      </c>
      <c r="E7" s="789" t="s">
        <v>136</v>
      </c>
      <c r="F7" s="789" t="s">
        <v>704</v>
      </c>
      <c r="G7" s="1113" t="s">
        <v>705</v>
      </c>
      <c r="H7" s="1090" t="s">
        <v>1026</v>
      </c>
      <c r="I7" s="1091" t="s">
        <v>1027</v>
      </c>
      <c r="L7" s="3"/>
    </row>
    <row r="8" spans="1:12" s="792" customFormat="1">
      <c r="A8" s="790"/>
      <c r="B8" s="791" t="s">
        <v>706</v>
      </c>
      <c r="C8" s="785" t="s">
        <v>707</v>
      </c>
      <c r="D8" s="785" t="s">
        <v>708</v>
      </c>
      <c r="E8" s="785" t="s">
        <v>709</v>
      </c>
      <c r="F8" s="785" t="s">
        <v>710</v>
      </c>
      <c r="G8" s="1114" t="s">
        <v>711</v>
      </c>
      <c r="H8" s="1092" t="s">
        <v>1072</v>
      </c>
      <c r="I8" s="1093" t="s">
        <v>1073</v>
      </c>
      <c r="L8" s="3"/>
    </row>
    <row r="9" spans="1:12" s="792" customFormat="1" ht="44.25" customHeight="1">
      <c r="A9" s="790"/>
      <c r="B9" s="791" t="s">
        <v>712</v>
      </c>
      <c r="C9" s="793" t="s">
        <v>231</v>
      </c>
      <c r="D9" s="793" t="s">
        <v>232</v>
      </c>
      <c r="E9" s="793" t="s">
        <v>233</v>
      </c>
      <c r="F9" s="793" t="s">
        <v>234</v>
      </c>
      <c r="G9" s="793" t="s">
        <v>235</v>
      </c>
      <c r="H9" s="1094" t="s">
        <v>1028</v>
      </c>
      <c r="I9" s="1095" t="s">
        <v>1029</v>
      </c>
      <c r="L9" s="3"/>
    </row>
    <row r="10" spans="1:12">
      <c r="A10" s="790">
        <v>1</v>
      </c>
      <c r="B10" s="794" t="s">
        <v>713</v>
      </c>
      <c r="C10" s="849">
        <v>4113390071</v>
      </c>
      <c r="D10" s="849"/>
      <c r="E10" s="849">
        <v>63635542</v>
      </c>
      <c r="F10" s="849"/>
      <c r="G10" s="849">
        <v>37477551</v>
      </c>
      <c r="H10" s="1096"/>
      <c r="I10" s="1097"/>
    </row>
    <row r="11" spans="1:12">
      <c r="A11" s="790">
        <f>+A10+1</f>
        <v>2</v>
      </c>
      <c r="B11" s="794" t="s">
        <v>574</v>
      </c>
      <c r="C11" s="849">
        <v>4118549309.3000011</v>
      </c>
      <c r="D11" s="849"/>
      <c r="E11" s="849">
        <v>101476512.66999999</v>
      </c>
      <c r="F11" s="849"/>
      <c r="G11" s="849">
        <v>0</v>
      </c>
      <c r="H11" s="1096"/>
      <c r="I11" s="1097"/>
    </row>
    <row r="12" spans="1:12">
      <c r="A12" s="790">
        <f t="shared" ref="A12:A23" si="0">+A11+1</f>
        <v>3</v>
      </c>
      <c r="B12" s="796" t="s">
        <v>575</v>
      </c>
      <c r="C12" s="849">
        <v>4123543393.3299994</v>
      </c>
      <c r="D12" s="849"/>
      <c r="E12" s="849">
        <v>101701857.45000002</v>
      </c>
      <c r="F12" s="849"/>
      <c r="G12" s="849">
        <v>0</v>
      </c>
      <c r="H12" s="1096"/>
      <c r="I12" s="1097"/>
    </row>
    <row r="13" spans="1:12">
      <c r="A13" s="790">
        <f t="shared" si="0"/>
        <v>4</v>
      </c>
      <c r="B13" s="796" t="s">
        <v>714</v>
      </c>
      <c r="C13" s="849">
        <v>4207078144.3099995</v>
      </c>
      <c r="D13" s="849"/>
      <c r="E13" s="849">
        <v>102474580.44</v>
      </c>
      <c r="F13" s="849"/>
      <c r="G13" s="849">
        <v>0</v>
      </c>
      <c r="H13" s="1096"/>
      <c r="I13" s="1097"/>
    </row>
    <row r="14" spans="1:12">
      <c r="A14" s="790">
        <f t="shared" si="0"/>
        <v>5</v>
      </c>
      <c r="B14" s="796" t="s">
        <v>577</v>
      </c>
      <c r="C14" s="849">
        <v>4214284115.650001</v>
      </c>
      <c r="D14" s="849"/>
      <c r="E14" s="849">
        <v>102530849.96000002</v>
      </c>
      <c r="F14" s="849"/>
      <c r="G14" s="849">
        <v>0</v>
      </c>
      <c r="H14" s="1096"/>
      <c r="I14" s="1097"/>
    </row>
    <row r="15" spans="1:12">
      <c r="A15" s="790">
        <f t="shared" si="0"/>
        <v>6</v>
      </c>
      <c r="B15" s="796" t="s">
        <v>578</v>
      </c>
      <c r="C15" s="849">
        <v>4244767316.5899997</v>
      </c>
      <c r="D15" s="849"/>
      <c r="E15" s="849">
        <v>102649200.14999999</v>
      </c>
      <c r="F15" s="849"/>
      <c r="G15" s="849">
        <v>0</v>
      </c>
      <c r="H15" s="1096"/>
      <c r="I15" s="1097"/>
    </row>
    <row r="16" spans="1:12">
      <c r="A16" s="790">
        <f t="shared" si="0"/>
        <v>7</v>
      </c>
      <c r="B16" s="796" t="s">
        <v>579</v>
      </c>
      <c r="C16" s="849">
        <v>4248997219.3300009</v>
      </c>
      <c r="D16" s="849"/>
      <c r="E16" s="849">
        <v>101596782.59999998</v>
      </c>
      <c r="F16" s="849"/>
      <c r="G16" s="849">
        <v>0</v>
      </c>
      <c r="H16" s="1096"/>
      <c r="I16" s="1097"/>
    </row>
    <row r="17" spans="1:12">
      <c r="A17" s="790">
        <f t="shared" si="0"/>
        <v>8</v>
      </c>
      <c r="B17" s="796" t="s">
        <v>580</v>
      </c>
      <c r="C17" s="849">
        <v>4246595210.3200006</v>
      </c>
      <c r="D17" s="849"/>
      <c r="E17" s="849">
        <v>101803219.24999999</v>
      </c>
      <c r="F17" s="849"/>
      <c r="G17" s="849">
        <v>0</v>
      </c>
      <c r="H17" s="1096"/>
      <c r="I17" s="1097"/>
    </row>
    <row r="18" spans="1:12">
      <c r="A18" s="790">
        <f t="shared" si="0"/>
        <v>9</v>
      </c>
      <c r="B18" s="796" t="s">
        <v>715</v>
      </c>
      <c r="C18" s="849">
        <v>4272633332.8099999</v>
      </c>
      <c r="D18" s="849"/>
      <c r="E18" s="849">
        <v>102215427.47</v>
      </c>
      <c r="F18" s="849"/>
      <c r="G18" s="849">
        <v>0</v>
      </c>
      <c r="H18" s="1096"/>
      <c r="I18" s="1097"/>
    </row>
    <row r="19" spans="1:12">
      <c r="A19" s="790">
        <f t="shared" si="0"/>
        <v>10</v>
      </c>
      <c r="B19" s="796" t="s">
        <v>582</v>
      </c>
      <c r="C19" s="849">
        <v>4323648866.3699999</v>
      </c>
      <c r="D19" s="849"/>
      <c r="E19" s="849">
        <v>99954524.000000015</v>
      </c>
      <c r="F19" s="849"/>
      <c r="G19" s="849">
        <v>0</v>
      </c>
      <c r="H19" s="1096"/>
      <c r="I19" s="1097"/>
    </row>
    <row r="20" spans="1:12">
      <c r="A20" s="790">
        <f t="shared" si="0"/>
        <v>11</v>
      </c>
      <c r="B20" s="796" t="s">
        <v>583</v>
      </c>
      <c r="C20" s="849">
        <v>4335768793.9399996</v>
      </c>
      <c r="D20" s="849"/>
      <c r="E20" s="849">
        <v>101233019.18999998</v>
      </c>
      <c r="F20" s="849"/>
      <c r="G20" s="849">
        <v>0</v>
      </c>
      <c r="H20" s="1096"/>
      <c r="I20" s="1097"/>
    </row>
    <row r="21" spans="1:12">
      <c r="A21" s="790">
        <f t="shared" si="0"/>
        <v>12</v>
      </c>
      <c r="B21" s="796" t="s">
        <v>584</v>
      </c>
      <c r="C21" s="849">
        <v>4398111474.2400007</v>
      </c>
      <c r="D21" s="849"/>
      <c r="E21" s="849">
        <v>101625629.98999998</v>
      </c>
      <c r="F21" s="849"/>
      <c r="G21" s="849">
        <v>0</v>
      </c>
      <c r="H21" s="1096"/>
      <c r="I21" s="1097"/>
    </row>
    <row r="22" spans="1:12">
      <c r="A22" s="797">
        <f t="shared" si="0"/>
        <v>13</v>
      </c>
      <c r="B22" s="798" t="s">
        <v>716</v>
      </c>
      <c r="C22" s="849">
        <v>4507801574.21</v>
      </c>
      <c r="D22" s="849"/>
      <c r="E22" s="849">
        <v>103959952.20999999</v>
      </c>
      <c r="F22" s="849"/>
      <c r="G22" s="849">
        <v>0</v>
      </c>
      <c r="H22" s="1096"/>
      <c r="I22" s="1098"/>
    </row>
    <row r="23" spans="1:12" ht="13.5" thickBot="1">
      <c r="A23" s="797">
        <f t="shared" si="0"/>
        <v>14</v>
      </c>
      <c r="B23" s="799" t="s">
        <v>717</v>
      </c>
      <c r="C23" s="800">
        <f>SUM(C10:C22)/13</f>
        <v>4258089909.3384619</v>
      </c>
      <c r="D23" s="800">
        <f>SUM(D10:D22)/13</f>
        <v>0</v>
      </c>
      <c r="E23" s="800">
        <f>SUM(E10:E22)/13</f>
        <v>98989007.490769237</v>
      </c>
      <c r="F23" s="800">
        <f>SUM(F10:F22)/13</f>
        <v>0</v>
      </c>
      <c r="G23" s="800">
        <f>SUM(G10:G22)/13</f>
        <v>2882888.5384615385</v>
      </c>
      <c r="H23" s="1099">
        <f t="shared" ref="H23:I23" si="1">SUM(H10:H22)/13</f>
        <v>0</v>
      </c>
      <c r="I23" s="1100">
        <f t="shared" si="1"/>
        <v>0</v>
      </c>
    </row>
    <row r="24" spans="1:12" ht="13.5" thickTop="1">
      <c r="A24" s="47"/>
      <c r="B24" s="801"/>
      <c r="C24" s="802"/>
      <c r="D24" s="803"/>
      <c r="E24" s="803"/>
      <c r="F24" s="803"/>
      <c r="G24" s="802"/>
      <c r="H24" s="802"/>
      <c r="I24" s="802"/>
    </row>
    <row r="25" spans="1:12" ht="12.75" customHeight="1">
      <c r="A25" s="47"/>
      <c r="B25" s="783"/>
      <c r="C25" s="1164" t="s">
        <v>718</v>
      </c>
      <c r="D25" s="1165"/>
      <c r="E25" s="1165"/>
      <c r="F25" s="1165"/>
      <c r="G25" s="1165"/>
      <c r="H25" s="1165"/>
      <c r="I25" s="1166"/>
      <c r="J25"/>
      <c r="K25"/>
    </row>
    <row r="26" spans="1:12" s="524" customFormat="1" ht="25.5">
      <c r="A26" s="787" t="s">
        <v>701</v>
      </c>
      <c r="B26" s="788" t="s">
        <v>702</v>
      </c>
      <c r="C26" s="789" t="s">
        <v>415</v>
      </c>
      <c r="D26" s="789" t="s">
        <v>703</v>
      </c>
      <c r="E26" s="789" t="s">
        <v>136</v>
      </c>
      <c r="F26" s="789" t="s">
        <v>704</v>
      </c>
      <c r="G26" s="1113" t="s">
        <v>705</v>
      </c>
      <c r="H26" s="1101" t="s">
        <v>1026</v>
      </c>
      <c r="I26" s="1102" t="s">
        <v>1027</v>
      </c>
      <c r="J26"/>
      <c r="K26"/>
      <c r="L26" s="3"/>
    </row>
    <row r="27" spans="1:12" s="792" customFormat="1">
      <c r="A27" s="790"/>
      <c r="B27" s="791" t="s">
        <v>706</v>
      </c>
      <c r="C27" s="785" t="s">
        <v>707</v>
      </c>
      <c r="D27" s="785" t="s">
        <v>708</v>
      </c>
      <c r="E27" s="785" t="s">
        <v>709</v>
      </c>
      <c r="F27" s="785" t="s">
        <v>710</v>
      </c>
      <c r="G27" s="1114" t="s">
        <v>711</v>
      </c>
      <c r="H27" s="1092" t="s">
        <v>1072</v>
      </c>
      <c r="I27" s="1093" t="s">
        <v>1073</v>
      </c>
      <c r="J27"/>
      <c r="K27"/>
      <c r="L27" s="3"/>
    </row>
    <row r="28" spans="1:12" s="792" customFormat="1" ht="44.25" customHeight="1">
      <c r="A28" s="790"/>
      <c r="B28" s="791" t="s">
        <v>712</v>
      </c>
      <c r="C28" s="793" t="s">
        <v>180</v>
      </c>
      <c r="D28" s="793" t="str">
        <f>"Company Records (Included in total in Column "&amp;C27&amp;")"</f>
        <v>Company Records (Included in total in Column (d))</v>
      </c>
      <c r="E28" s="793" t="s">
        <v>8</v>
      </c>
      <c r="F28" s="793" t="str">
        <f>"Company Records (Included in total in Column "&amp;E27&amp;")"</f>
        <v>Company Records (Included in total in Column (h))</v>
      </c>
      <c r="G28" s="793" t="s">
        <v>302</v>
      </c>
      <c r="H28" s="1094" t="s">
        <v>1030</v>
      </c>
      <c r="I28" s="1095" t="s">
        <v>1031</v>
      </c>
      <c r="J28"/>
      <c r="K28"/>
      <c r="L28" s="3"/>
    </row>
    <row r="29" spans="1:12">
      <c r="A29" s="790">
        <f>+A23+1</f>
        <v>15</v>
      </c>
      <c r="B29" s="794" t="s">
        <v>713</v>
      </c>
      <c r="C29" s="849">
        <v>515521958.27000004</v>
      </c>
      <c r="D29" s="849"/>
      <c r="E29" s="849">
        <v>7156392.1500000013</v>
      </c>
      <c r="F29" s="849"/>
      <c r="G29" s="849">
        <v>18918235.510000002</v>
      </c>
      <c r="H29" s="1096"/>
      <c r="I29" s="1103"/>
      <c r="J29"/>
      <c r="K29"/>
    </row>
    <row r="30" spans="1:12">
      <c r="A30" s="790">
        <f>+A29+1</f>
        <v>16</v>
      </c>
      <c r="B30" s="794" t="s">
        <v>574</v>
      </c>
      <c r="C30" s="849">
        <v>524669123.59000003</v>
      </c>
      <c r="D30" s="849"/>
      <c r="E30" s="849">
        <v>26789705.760000002</v>
      </c>
      <c r="F30" s="849"/>
      <c r="G30" s="849">
        <v>0</v>
      </c>
      <c r="H30" s="1096"/>
      <c r="I30" s="1097"/>
      <c r="J30"/>
      <c r="K30"/>
    </row>
    <row r="31" spans="1:12">
      <c r="A31" s="790">
        <f t="shared" ref="A31:A42" si="2">+A30+1</f>
        <v>17</v>
      </c>
      <c r="B31" s="796" t="s">
        <v>575</v>
      </c>
      <c r="C31" s="849">
        <v>533725840.17000002</v>
      </c>
      <c r="D31" s="849"/>
      <c r="E31" s="849">
        <v>27503640.519999996</v>
      </c>
      <c r="F31" s="849"/>
      <c r="G31" s="849">
        <v>0</v>
      </c>
      <c r="H31" s="1096"/>
      <c r="I31" s="1097"/>
      <c r="J31"/>
      <c r="K31"/>
    </row>
    <row r="32" spans="1:12">
      <c r="A32" s="790">
        <f t="shared" si="2"/>
        <v>18</v>
      </c>
      <c r="B32" s="796" t="s">
        <v>714</v>
      </c>
      <c r="C32" s="849">
        <v>542954846.79000008</v>
      </c>
      <c r="D32" s="849"/>
      <c r="E32" s="849">
        <v>27587869.860000007</v>
      </c>
      <c r="F32" s="849"/>
      <c r="G32" s="849">
        <v>0</v>
      </c>
      <c r="H32" s="1096"/>
      <c r="I32" s="1097"/>
      <c r="J32"/>
      <c r="K32"/>
    </row>
    <row r="33" spans="1:11">
      <c r="A33" s="790">
        <f t="shared" si="2"/>
        <v>19</v>
      </c>
      <c r="B33" s="796" t="s">
        <v>577</v>
      </c>
      <c r="C33" s="849">
        <v>552696742.18999994</v>
      </c>
      <c r="D33" s="849"/>
      <c r="E33" s="849">
        <v>28307334.520000003</v>
      </c>
      <c r="F33" s="849"/>
      <c r="G33" s="849">
        <v>0</v>
      </c>
      <c r="H33" s="1096"/>
      <c r="I33" s="1097"/>
      <c r="J33"/>
      <c r="K33"/>
    </row>
    <row r="34" spans="1:11">
      <c r="A34" s="790">
        <f t="shared" si="2"/>
        <v>20</v>
      </c>
      <c r="B34" s="796" t="s">
        <v>578</v>
      </c>
      <c r="C34" s="849">
        <v>562374116.64999998</v>
      </c>
      <c r="D34" s="849"/>
      <c r="E34" s="849">
        <v>29029190.75</v>
      </c>
      <c r="F34" s="849"/>
      <c r="G34" s="849">
        <v>0</v>
      </c>
      <c r="H34" s="1096"/>
      <c r="I34" s="1097"/>
      <c r="J34"/>
      <c r="K34"/>
    </row>
    <row r="35" spans="1:11">
      <c r="A35" s="790">
        <f t="shared" si="2"/>
        <v>21</v>
      </c>
      <c r="B35" s="796" t="s">
        <v>579</v>
      </c>
      <c r="C35" s="849">
        <v>586577769.87</v>
      </c>
      <c r="D35" s="849"/>
      <c r="E35" s="849">
        <v>28528844.350000001</v>
      </c>
      <c r="F35" s="849"/>
      <c r="G35" s="849">
        <v>0</v>
      </c>
      <c r="H35" s="1096"/>
      <c r="I35" s="1097"/>
      <c r="J35"/>
      <c r="K35"/>
    </row>
    <row r="36" spans="1:11">
      <c r="A36" s="790">
        <f t="shared" si="2"/>
        <v>22</v>
      </c>
      <c r="B36" s="796" t="s">
        <v>580</v>
      </c>
      <c r="C36" s="849">
        <v>596244767.46000004</v>
      </c>
      <c r="D36" s="849"/>
      <c r="E36" s="849">
        <v>29215922.900000002</v>
      </c>
      <c r="F36" s="849"/>
      <c r="G36" s="849">
        <v>0</v>
      </c>
      <c r="H36" s="1096"/>
      <c r="I36" s="1097"/>
      <c r="J36"/>
      <c r="K36"/>
    </row>
    <row r="37" spans="1:11">
      <c r="A37" s="790">
        <f t="shared" si="2"/>
        <v>23</v>
      </c>
      <c r="B37" s="796" t="s">
        <v>715</v>
      </c>
      <c r="C37" s="849">
        <v>606344142.08000004</v>
      </c>
      <c r="D37" s="849"/>
      <c r="E37" s="849">
        <v>29907018.340000004</v>
      </c>
      <c r="F37" s="849"/>
      <c r="G37" s="849">
        <v>0</v>
      </c>
      <c r="H37" s="1096"/>
      <c r="I37" s="1097"/>
      <c r="J37"/>
      <c r="K37"/>
    </row>
    <row r="38" spans="1:11">
      <c r="A38" s="790">
        <f t="shared" si="2"/>
        <v>24</v>
      </c>
      <c r="B38" s="796" t="s">
        <v>582</v>
      </c>
      <c r="C38" s="849">
        <v>616164110.85000014</v>
      </c>
      <c r="D38" s="849"/>
      <c r="E38" s="849">
        <v>27955890.200000003</v>
      </c>
      <c r="F38" s="849"/>
      <c r="G38" s="849">
        <v>0</v>
      </c>
      <c r="H38" s="1096"/>
      <c r="I38" s="1097"/>
      <c r="J38"/>
      <c r="K38"/>
    </row>
    <row r="39" spans="1:11">
      <c r="A39" s="790">
        <f t="shared" si="2"/>
        <v>25</v>
      </c>
      <c r="B39" s="796" t="s">
        <v>583</v>
      </c>
      <c r="C39" s="849">
        <v>626056919.89999986</v>
      </c>
      <c r="D39" s="849"/>
      <c r="E39" s="849">
        <v>28600487.610000003</v>
      </c>
      <c r="F39" s="849"/>
      <c r="G39" s="849">
        <v>0</v>
      </c>
      <c r="H39" s="1096"/>
      <c r="I39" s="1097"/>
      <c r="J39"/>
      <c r="K39"/>
    </row>
    <row r="40" spans="1:11">
      <c r="A40" s="790">
        <f t="shared" si="2"/>
        <v>26</v>
      </c>
      <c r="B40" s="796" t="s">
        <v>584</v>
      </c>
      <c r="C40" s="849">
        <v>635536222.93000007</v>
      </c>
      <c r="D40" s="849"/>
      <c r="E40" s="849">
        <v>29258381.700000003</v>
      </c>
      <c r="F40" s="849"/>
      <c r="G40" s="849">
        <v>0</v>
      </c>
      <c r="H40" s="1096"/>
      <c r="I40" s="1097"/>
      <c r="J40"/>
      <c r="K40"/>
    </row>
    <row r="41" spans="1:11">
      <c r="A41" s="797">
        <f t="shared" si="2"/>
        <v>27</v>
      </c>
      <c r="B41" s="798" t="s">
        <v>716</v>
      </c>
      <c r="C41" s="849">
        <v>643450377.12</v>
      </c>
      <c r="D41" s="849"/>
      <c r="E41" s="849">
        <v>27913310.829999998</v>
      </c>
      <c r="F41" s="849"/>
      <c r="G41" s="849">
        <v>0</v>
      </c>
      <c r="H41" s="1104"/>
      <c r="I41" s="1097"/>
      <c r="J41"/>
      <c r="K41"/>
    </row>
    <row r="42" spans="1:11" ht="13.5" thickBot="1">
      <c r="A42" s="804">
        <f t="shared" si="2"/>
        <v>28</v>
      </c>
      <c r="B42" s="805" t="s">
        <v>717</v>
      </c>
      <c r="C42" s="800">
        <f>SUM(C29:C41)/13</f>
        <v>580178225.99000001</v>
      </c>
      <c r="D42" s="800">
        <f>SUM(D29:D41)/13</f>
        <v>0</v>
      </c>
      <c r="E42" s="800">
        <f>SUM(E29:E41)/13</f>
        <v>26750306.883846156</v>
      </c>
      <c r="F42" s="800">
        <f>SUM(F29:F41)/13</f>
        <v>0</v>
      </c>
      <c r="G42" s="800">
        <f>SUM(G29:G41)/13</f>
        <v>1455248.8853846155</v>
      </c>
      <c r="H42" s="1099">
        <f t="shared" ref="H42:I42" si="3">SUM(H29:H41)/13</f>
        <v>0</v>
      </c>
      <c r="I42" s="1100">
        <f t="shared" si="3"/>
        <v>0</v>
      </c>
      <c r="J42"/>
      <c r="K42"/>
    </row>
    <row r="43" spans="1:11" ht="13.5" thickTop="1">
      <c r="A43" s="47"/>
      <c r="B43" s="801"/>
      <c r="C43" s="802"/>
      <c r="D43" s="803"/>
      <c r="E43" s="803"/>
      <c r="F43" s="803"/>
      <c r="G43" s="802"/>
      <c r="H43"/>
      <c r="I43"/>
      <c r="J43"/>
      <c r="K43"/>
    </row>
    <row r="44" spans="1:11">
      <c r="A44" s="47"/>
      <c r="B44" s="801"/>
      <c r="C44" s="802"/>
      <c r="D44" s="803"/>
      <c r="E44" s="803"/>
      <c r="F44" s="803"/>
      <c r="G44" s="802"/>
      <c r="H44" s="802"/>
      <c r="I44" s="802"/>
    </row>
    <row r="45" spans="1:11">
      <c r="A45" s="806"/>
      <c r="B45" s="807"/>
      <c r="C45" s="808"/>
      <c r="D45" s="809"/>
      <c r="E45" s="809"/>
      <c r="F45" s="809"/>
      <c r="G45" s="1105"/>
      <c r="H45" s="1106"/>
    </row>
    <row r="46" spans="1:11" ht="72" customHeight="1">
      <c r="A46" s="810" t="s">
        <v>701</v>
      </c>
      <c r="B46" s="785" t="s">
        <v>702</v>
      </c>
      <c r="C46" s="811" t="s">
        <v>719</v>
      </c>
      <c r="D46" s="789" t="s">
        <v>720</v>
      </c>
      <c r="E46" s="789" t="s">
        <v>721</v>
      </c>
      <c r="F46" s="789" t="s">
        <v>722</v>
      </c>
      <c r="G46" s="1090" t="s">
        <v>1032</v>
      </c>
      <c r="H46" s="1091" t="s">
        <v>1033</v>
      </c>
    </row>
    <row r="47" spans="1:11" s="792" customFormat="1">
      <c r="A47" s="790"/>
      <c r="B47" s="785" t="s">
        <v>706</v>
      </c>
      <c r="C47" s="812" t="s">
        <v>723</v>
      </c>
      <c r="D47" s="785" t="s">
        <v>724</v>
      </c>
      <c r="E47" s="785" t="s">
        <v>707</v>
      </c>
      <c r="F47" s="785" t="s">
        <v>708</v>
      </c>
      <c r="G47" s="1092" t="s">
        <v>744</v>
      </c>
      <c r="H47" s="1093" t="s">
        <v>752</v>
      </c>
    </row>
    <row r="48" spans="1:11" s="792" customFormat="1" ht="63.75">
      <c r="A48" s="790"/>
      <c r="B48" s="785" t="s">
        <v>712</v>
      </c>
      <c r="C48" s="1027" t="str">
        <f>"Company Records (included in total in column "&amp;C8&amp;" of gross plant above)"</f>
        <v>Company Records (included in total in column (d) of gross plant above)</v>
      </c>
      <c r="D48" s="1028" t="str">
        <f>"Company Records (included in total in column "&amp;C27&amp;" of accumulated depreciation above)"</f>
        <v>Company Records (included in total in column (d) of accumulated depreciation above)</v>
      </c>
      <c r="E48" s="1028" t="s">
        <v>923</v>
      </c>
      <c r="F48" s="1028" t="s">
        <v>924</v>
      </c>
      <c r="G48" s="1107" t="s">
        <v>1034</v>
      </c>
      <c r="H48" s="1108" t="s">
        <v>1034</v>
      </c>
    </row>
    <row r="49" spans="1:9">
      <c r="A49" s="790">
        <f>+A42+1</f>
        <v>29</v>
      </c>
      <c r="B49" s="813" t="s">
        <v>713</v>
      </c>
      <c r="C49" s="849">
        <v>0</v>
      </c>
      <c r="D49" s="849">
        <v>0</v>
      </c>
      <c r="E49" s="795">
        <v>131621663.92999999</v>
      </c>
      <c r="F49" s="1115">
        <v>16857299.949999999</v>
      </c>
      <c r="G49" s="1109"/>
      <c r="H49" s="1110"/>
    </row>
    <row r="50" spans="1:9">
      <c r="A50" s="790">
        <f>+A49+1</f>
        <v>30</v>
      </c>
      <c r="B50" s="813" t="s">
        <v>574</v>
      </c>
      <c r="C50" s="849">
        <v>0</v>
      </c>
      <c r="D50" s="849">
        <v>0</v>
      </c>
      <c r="E50" s="953">
        <v>131621729.05</v>
      </c>
      <c r="F50" s="1116">
        <v>17125983.350000001</v>
      </c>
      <c r="G50" s="1109"/>
      <c r="H50" s="1111"/>
    </row>
    <row r="51" spans="1:9">
      <c r="A51" s="790">
        <f t="shared" ref="A51:A62" si="4">+A50+1</f>
        <v>31</v>
      </c>
      <c r="B51" s="801" t="s">
        <v>575</v>
      </c>
      <c r="C51" s="849">
        <v>0</v>
      </c>
      <c r="D51" s="849">
        <v>0</v>
      </c>
      <c r="E51" s="953">
        <v>131621729.14</v>
      </c>
      <c r="F51" s="1116">
        <v>17394666.580000002</v>
      </c>
      <c r="G51" s="1109"/>
      <c r="H51" s="1111"/>
    </row>
    <row r="52" spans="1:9">
      <c r="A52" s="790">
        <f t="shared" si="4"/>
        <v>32</v>
      </c>
      <c r="B52" s="801" t="s">
        <v>714</v>
      </c>
      <c r="C52" s="849">
        <v>0</v>
      </c>
      <c r="D52" s="849">
        <v>0</v>
      </c>
      <c r="E52" s="953">
        <v>131725310.66</v>
      </c>
      <c r="F52" s="1116">
        <v>17663350.140000001</v>
      </c>
      <c r="G52" s="1109"/>
      <c r="H52" s="1111"/>
    </row>
    <row r="53" spans="1:9">
      <c r="A53" s="790">
        <f t="shared" si="4"/>
        <v>33</v>
      </c>
      <c r="B53" s="801" t="s">
        <v>577</v>
      </c>
      <c r="C53" s="849">
        <v>0</v>
      </c>
      <c r="D53" s="849">
        <v>0</v>
      </c>
      <c r="E53" s="953">
        <v>131733551.94</v>
      </c>
      <c r="F53" s="1116">
        <v>17932262.939999998</v>
      </c>
      <c r="G53" s="1109"/>
      <c r="H53" s="1111"/>
    </row>
    <row r="54" spans="1:9">
      <c r="A54" s="790">
        <f t="shared" si="4"/>
        <v>34</v>
      </c>
      <c r="B54" s="801" t="s">
        <v>578</v>
      </c>
      <c r="C54" s="849">
        <v>0</v>
      </c>
      <c r="D54" s="849">
        <v>0</v>
      </c>
      <c r="E54" s="953">
        <v>131753225.55</v>
      </c>
      <c r="F54" s="1116">
        <v>18201176.93</v>
      </c>
      <c r="G54" s="1109"/>
      <c r="H54" s="1111"/>
    </row>
    <row r="55" spans="1:9">
      <c r="A55" s="790">
        <f t="shared" si="4"/>
        <v>35</v>
      </c>
      <c r="B55" s="801" t="s">
        <v>579</v>
      </c>
      <c r="C55" s="849">
        <v>0</v>
      </c>
      <c r="D55" s="849">
        <v>0</v>
      </c>
      <c r="E55" s="953">
        <v>131703208.63</v>
      </c>
      <c r="F55" s="1116">
        <v>18472784.140000001</v>
      </c>
      <c r="G55" s="1109"/>
      <c r="H55" s="1111"/>
    </row>
    <row r="56" spans="1:9">
      <c r="A56" s="790">
        <f t="shared" si="4"/>
        <v>36</v>
      </c>
      <c r="B56" s="801" t="s">
        <v>580</v>
      </c>
      <c r="C56" s="849">
        <v>0</v>
      </c>
      <c r="D56" s="849">
        <v>0</v>
      </c>
      <c r="E56" s="953">
        <v>131674802.13</v>
      </c>
      <c r="F56" s="1116">
        <v>18741697.579999998</v>
      </c>
      <c r="G56" s="1109"/>
      <c r="H56" s="1111"/>
    </row>
    <row r="57" spans="1:9">
      <c r="A57" s="790">
        <f t="shared" si="4"/>
        <v>37</v>
      </c>
      <c r="B57" s="801" t="s">
        <v>715</v>
      </c>
      <c r="C57" s="849">
        <v>0</v>
      </c>
      <c r="D57" s="849">
        <v>0</v>
      </c>
      <c r="E57" s="953">
        <v>131671469.39999999</v>
      </c>
      <c r="F57" s="1116">
        <v>19010490.310000002</v>
      </c>
      <c r="G57" s="1109"/>
      <c r="H57" s="1111"/>
    </row>
    <row r="58" spans="1:9">
      <c r="A58" s="790">
        <f t="shared" si="4"/>
        <v>38</v>
      </c>
      <c r="B58" s="801" t="s">
        <v>582</v>
      </c>
      <c r="C58" s="849">
        <v>0</v>
      </c>
      <c r="D58" s="849">
        <v>0</v>
      </c>
      <c r="E58" s="953">
        <v>131671469.39999999</v>
      </c>
      <c r="F58" s="1116">
        <v>19279283.149999999</v>
      </c>
      <c r="G58" s="1109"/>
      <c r="H58" s="1111"/>
    </row>
    <row r="59" spans="1:9">
      <c r="A59" s="790">
        <f t="shared" si="4"/>
        <v>39</v>
      </c>
      <c r="B59" s="801" t="s">
        <v>583</v>
      </c>
      <c r="C59" s="849">
        <v>0</v>
      </c>
      <c r="D59" s="849">
        <v>0</v>
      </c>
      <c r="E59" s="953">
        <v>131714278.52</v>
      </c>
      <c r="F59" s="1116">
        <v>19524654.120000001</v>
      </c>
      <c r="G59" s="1109"/>
      <c r="H59" s="1111"/>
    </row>
    <row r="60" spans="1:9">
      <c r="A60" s="790">
        <f t="shared" si="4"/>
        <v>40</v>
      </c>
      <c r="B60" s="801" t="s">
        <v>584</v>
      </c>
      <c r="C60" s="849">
        <v>0</v>
      </c>
      <c r="D60" s="849">
        <v>0</v>
      </c>
      <c r="E60" s="953">
        <v>131683415.74999999</v>
      </c>
      <c r="F60" s="1116">
        <v>19793449.359999999</v>
      </c>
      <c r="G60" s="1109"/>
      <c r="H60" s="1111"/>
    </row>
    <row r="61" spans="1:9">
      <c r="A61" s="797">
        <f t="shared" si="4"/>
        <v>41</v>
      </c>
      <c r="B61" s="814" t="s">
        <v>716</v>
      </c>
      <c r="C61" s="849">
        <v>0</v>
      </c>
      <c r="D61" s="849">
        <v>0</v>
      </c>
      <c r="E61" s="953">
        <v>131780334.53999999</v>
      </c>
      <c r="F61" s="1116">
        <v>20062248.150000002</v>
      </c>
      <c r="G61" s="1109"/>
      <c r="H61" s="1112"/>
    </row>
    <row r="62" spans="1:9" ht="13.5" thickBot="1">
      <c r="A62" s="815">
        <f t="shared" si="4"/>
        <v>42</v>
      </c>
      <c r="B62" s="805" t="s">
        <v>717</v>
      </c>
      <c r="C62" s="800">
        <f>SUM(C49:C61)/13</f>
        <v>0</v>
      </c>
      <c r="D62" s="800">
        <f>SUM(D49:D61)/13</f>
        <v>0</v>
      </c>
      <c r="E62" s="800">
        <f>SUM(E49:E61)/13</f>
        <v>131690476.04923078</v>
      </c>
      <c r="F62" s="800">
        <f>SUM(F49:F61)/13</f>
        <v>18466103.592307694</v>
      </c>
      <c r="G62" s="1099">
        <f t="shared" ref="G62:H62" si="5">SUM(G49:G61)/13</f>
        <v>0</v>
      </c>
      <c r="H62" s="1100">
        <f t="shared" si="5"/>
        <v>0</v>
      </c>
    </row>
    <row r="63" spans="1:9" ht="13.5" thickTop="1">
      <c r="A63" s="47"/>
      <c r="B63" s="801"/>
      <c r="I63" s="803"/>
    </row>
    <row r="64" spans="1:9">
      <c r="A64" s="47">
        <v>43</v>
      </c>
      <c r="B64" s="801" t="s">
        <v>725</v>
      </c>
      <c r="C64" s="1082">
        <f>+C42-C62-D62-F62</f>
        <v>561712122.39769232</v>
      </c>
      <c r="I64" s="803"/>
    </row>
    <row r="65" spans="1:6" customFormat="1"/>
    <row r="66" spans="1:6" customFormat="1"/>
    <row r="67" spans="1:6" customFormat="1" ht="25.5">
      <c r="A67" s="818" t="s">
        <v>330</v>
      </c>
      <c r="B67" s="299"/>
      <c r="C67" s="819" t="s">
        <v>328</v>
      </c>
      <c r="D67" s="820" t="str">
        <f>"Balance @ December 31, "&amp;TCOS!L4&amp;""</f>
        <v>Balance @ December 31, 2025</v>
      </c>
      <c r="E67" s="821" t="str">
        <f>"Balance @ December 31, "&amp;TCOS!L4-1&amp;""</f>
        <v>Balance @ December 31, 2024</v>
      </c>
      <c r="F67" s="821" t="str">
        <f>"Average Balance for "&amp;TCOS!L4&amp;""</f>
        <v>Average Balance for 2025</v>
      </c>
    </row>
    <row r="68" spans="1:6" customFormat="1">
      <c r="A68" s="822"/>
      <c r="B68" s="785" t="s">
        <v>706</v>
      </c>
      <c r="C68" s="785" t="s">
        <v>723</v>
      </c>
      <c r="D68" s="785" t="s">
        <v>724</v>
      </c>
      <c r="E68" s="785" t="s">
        <v>707</v>
      </c>
      <c r="F68" s="785" t="s">
        <v>708</v>
      </c>
    </row>
    <row r="69" spans="1:6" customFormat="1">
      <c r="A69" s="299">
        <f>+A64+1</f>
        <v>44</v>
      </c>
      <c r="B69" s="822" t="s">
        <v>330</v>
      </c>
      <c r="C69" s="303" t="s">
        <v>177</v>
      </c>
      <c r="D69" s="308">
        <v>0</v>
      </c>
      <c r="E69" s="308">
        <v>0</v>
      </c>
      <c r="F69" s="823">
        <f>IF(E69="",0,AVERAGE(D69:E69))</f>
        <v>0</v>
      </c>
    </row>
    <row r="70" spans="1:6" customFormat="1">
      <c r="A70" s="302"/>
      <c r="B70" s="298"/>
      <c r="C70" s="298"/>
      <c r="F70" s="824"/>
    </row>
    <row r="71" spans="1:6" customFormat="1">
      <c r="A71" s="299">
        <f>+A69+1</f>
        <v>45</v>
      </c>
      <c r="B71" s="822" t="s">
        <v>777</v>
      </c>
      <c r="C71" s="825" t="s">
        <v>334</v>
      </c>
      <c r="D71" s="308">
        <v>0</v>
      </c>
      <c r="E71" s="308">
        <v>0</v>
      </c>
      <c r="F71" s="823">
        <f>IF(E71="",0,AVERAGE(D71:E71))</f>
        <v>0</v>
      </c>
    </row>
    <row r="72" spans="1:6" customFormat="1">
      <c r="A72" s="3"/>
      <c r="B72" s="3"/>
      <c r="C72" s="3"/>
      <c r="D72" s="3"/>
    </row>
    <row r="73" spans="1:6" customFormat="1">
      <c r="A73" s="822" t="s">
        <v>21</v>
      </c>
      <c r="B73" s="3"/>
      <c r="C73" s="3"/>
      <c r="D73" s="3"/>
    </row>
    <row r="74" spans="1:6" customFormat="1">
      <c r="A74" s="298"/>
      <c r="B74" s="298" t="s">
        <v>163</v>
      </c>
      <c r="C74" s="298"/>
      <c r="D74" s="298"/>
      <c r="E74" s="298"/>
      <c r="F74" s="298"/>
    </row>
    <row r="75" spans="1:6" customFormat="1">
      <c r="A75" s="299">
        <f>+A71+1</f>
        <v>46</v>
      </c>
      <c r="B75" s="826"/>
      <c r="C75" s="826"/>
      <c r="D75" s="308"/>
      <c r="E75" s="308"/>
      <c r="F75" s="823">
        <f>IF(E75="",0,AVERAGE(D75:E75))</f>
        <v>0</v>
      </c>
    </row>
    <row r="76" spans="1:6" customFormat="1">
      <c r="A76" s="299">
        <f>+A75+1</f>
        <v>47</v>
      </c>
      <c r="B76" s="826"/>
      <c r="C76" s="826"/>
      <c r="D76" s="308"/>
      <c r="E76" s="308"/>
      <c r="F76" s="823">
        <f>IF(E76="",0,AVERAGE(D76:E76))</f>
        <v>0</v>
      </c>
    </row>
    <row r="77" spans="1:6" customFormat="1">
      <c r="A77" s="299">
        <f>+A76+1</f>
        <v>48</v>
      </c>
      <c r="B77" s="826"/>
      <c r="C77" s="826"/>
      <c r="D77" s="308"/>
      <c r="E77" s="308"/>
      <c r="F77" s="823">
        <f>IF(E77="",0,AVERAGE(D77:E77))</f>
        <v>0</v>
      </c>
    </row>
    <row r="78" spans="1:6" customFormat="1">
      <c r="A78" s="299">
        <f>+A77+1</f>
        <v>49</v>
      </c>
      <c r="B78" s="826"/>
      <c r="C78" s="826"/>
      <c r="D78" s="308"/>
      <c r="E78" s="308"/>
      <c r="F78" s="823">
        <f>IF(E78="",0,AVERAGE(D78:E78))</f>
        <v>0</v>
      </c>
    </row>
    <row r="79" spans="1:6" customFormat="1">
      <c r="A79" s="299">
        <f>+A78+1</f>
        <v>50</v>
      </c>
      <c r="B79" s="826"/>
      <c r="C79" s="826"/>
      <c r="D79" s="827"/>
      <c r="E79" s="827"/>
      <c r="F79" s="828">
        <f>IF(E79="",0,AVERAGE(D79:E79))</f>
        <v>0</v>
      </c>
    </row>
    <row r="80" spans="1:6" customFormat="1" ht="18" customHeight="1">
      <c r="A80" s="299">
        <f>+A79+1</f>
        <v>51</v>
      </c>
      <c r="B80" s="298" t="s">
        <v>726</v>
      </c>
      <c r="C80" s="298"/>
      <c r="D80" s="829">
        <f>SUM(D75:D79)</f>
        <v>0</v>
      </c>
      <c r="E80" s="829">
        <f>SUM(E75:E79)</f>
        <v>0</v>
      </c>
      <c r="F80" s="829">
        <f>SUM(F75:F79)</f>
        <v>0</v>
      </c>
    </row>
    <row r="81" spans="1:6" customFormat="1" ht="17.25" customHeight="1">
      <c r="A81" s="299"/>
      <c r="B81" s="298"/>
      <c r="C81" s="298"/>
      <c r="D81" s="829"/>
      <c r="E81" s="829"/>
      <c r="F81" s="829"/>
    </row>
    <row r="82" spans="1:6" customFormat="1" ht="18.75" customHeight="1">
      <c r="A82" s="822" t="s">
        <v>727</v>
      </c>
      <c r="B82" s="830"/>
      <c r="C82" s="830"/>
      <c r="D82" s="830"/>
      <c r="E82" s="298"/>
      <c r="F82" s="298"/>
    </row>
    <row r="83" spans="1:6" customFormat="1" ht="31.5" customHeight="1">
      <c r="A83" s="299"/>
      <c r="B83" s="14"/>
      <c r="C83" s="352"/>
      <c r="D83" s="4"/>
      <c r="E83" s="298"/>
      <c r="F83" s="298"/>
    </row>
    <row r="84" spans="1:6" customFormat="1" ht="21.75" customHeight="1">
      <c r="A84" s="299">
        <f>+A80+1</f>
        <v>52</v>
      </c>
      <c r="B84" s="300" t="s">
        <v>465</v>
      </c>
      <c r="C84" s="300" t="s">
        <v>110</v>
      </c>
      <c r="D84" s="3"/>
      <c r="F84" s="300"/>
    </row>
    <row r="85" spans="1:6" customFormat="1" ht="14.25">
      <c r="A85" s="47" t="s">
        <v>728</v>
      </c>
      <c r="B85" s="831"/>
      <c r="C85" s="832"/>
      <c r="D85" s="308"/>
      <c r="E85" s="308"/>
      <c r="F85" s="833">
        <f>IF(E85="",0,AVERAGE(D85:E85))</f>
        <v>0</v>
      </c>
    </row>
    <row r="86" spans="1:6" customFormat="1" ht="14.25">
      <c r="A86" s="47" t="s">
        <v>729</v>
      </c>
      <c r="B86" s="308"/>
      <c r="C86" s="832"/>
      <c r="D86" s="308"/>
      <c r="E86" s="308"/>
      <c r="F86" s="834">
        <f>IF(E86="",0,AVERAGE(D86:E86))</f>
        <v>0</v>
      </c>
    </row>
    <row r="87" spans="1:6" customFormat="1" ht="18" customHeight="1">
      <c r="A87" s="1">
        <f>A84+2</f>
        <v>54</v>
      </c>
      <c r="C87" s="3" t="s">
        <v>418</v>
      </c>
      <c r="D87" s="506">
        <f>SUM(D85:D86)</f>
        <v>0</v>
      </c>
      <c r="E87" s="506">
        <f>SUM(E85:E86)</f>
        <v>0</v>
      </c>
      <c r="F87" s="506">
        <f>SUM(F85:F86)</f>
        <v>0</v>
      </c>
    </row>
    <row r="88" spans="1:6" customFormat="1">
      <c r="A88" s="299"/>
      <c r="B88" s="298"/>
      <c r="C88" s="298"/>
      <c r="D88" s="298"/>
    </row>
    <row r="89" spans="1:6">
      <c r="A89" s="306" t="s">
        <v>730</v>
      </c>
      <c r="B89" s="298"/>
      <c r="C89" s="298"/>
      <c r="D89" s="298"/>
    </row>
    <row r="90" spans="1:6">
      <c r="A90" s="306" t="s">
        <v>731</v>
      </c>
      <c r="B90" s="298"/>
      <c r="C90" s="298"/>
      <c r="D90" s="298"/>
    </row>
  </sheetData>
  <mergeCells count="6">
    <mergeCell ref="A1:G1"/>
    <mergeCell ref="A2:G2"/>
    <mergeCell ref="A3:G3"/>
    <mergeCell ref="A4:G4"/>
    <mergeCell ref="C25:I25"/>
    <mergeCell ref="C6:I6"/>
  </mergeCells>
  <pageMargins left="0.7" right="0.7" top="0.75" bottom="0.75" header="0.3" footer="0.3"/>
  <pageSetup scale="69"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U34"/>
  <sheetViews>
    <sheetView tabSelected="1" zoomScale="81" zoomScaleNormal="81" workbookViewId="0">
      <selection activeCell="O54" sqref="O54"/>
    </sheetView>
  </sheetViews>
  <sheetFormatPr defaultRowHeight="12.75"/>
  <cols>
    <col min="2" max="2" width="11.85546875" customWidth="1"/>
    <col min="3" max="3" width="1" customWidth="1"/>
    <col min="8" max="8" width="1.7109375" customWidth="1"/>
    <col min="9" max="9" width="9.85546875" customWidth="1"/>
    <col min="10" max="10" width="1.7109375" customWidth="1"/>
    <col min="11" max="11" width="12.5703125" customWidth="1"/>
    <col min="12" max="12" width="1.7109375" customWidth="1"/>
    <col min="13" max="13" width="13.7109375" customWidth="1"/>
    <col min="14" max="14" width="1.140625" customWidth="1"/>
    <col min="15" max="15" width="14.85546875" customWidth="1"/>
    <col min="16" max="16" width="1.140625" customWidth="1"/>
    <col min="17" max="17" width="12.7109375" customWidth="1"/>
    <col min="18" max="18" width="1.28515625" customWidth="1"/>
    <col min="19" max="19" width="17.5703125" customWidth="1"/>
    <col min="20" max="20" width="1.140625" customWidth="1"/>
    <col min="21" max="21" width="13" customWidth="1"/>
  </cols>
  <sheetData>
    <row r="1" spans="1:21" ht="15.75">
      <c r="A1" s="738" t="s">
        <v>414</v>
      </c>
    </row>
    <row r="2" spans="1:21" ht="15.75">
      <c r="A2" s="738" t="s">
        <v>414</v>
      </c>
    </row>
    <row r="3" spans="1:21" ht="18">
      <c r="A3" s="1208" t="str">
        <f>TCOS!$F$5</f>
        <v>AEPTCo subsidiaries in PJM</v>
      </c>
      <c r="B3" s="1208" t="str">
        <f>TCOS!$F$5</f>
        <v>AEPTCo subsidiaries in PJM</v>
      </c>
      <c r="C3" s="1208" t="str">
        <f>TCOS!$F$5</f>
        <v>AEPTCo subsidiaries in PJM</v>
      </c>
      <c r="D3" s="1208" t="str">
        <f>TCOS!$F$5</f>
        <v>AEPTCo subsidiaries in PJM</v>
      </c>
      <c r="E3" s="1208" t="str">
        <f>TCOS!$F$5</f>
        <v>AEPTCo subsidiaries in PJM</v>
      </c>
      <c r="F3" s="1208" t="str">
        <f>TCOS!$F$5</f>
        <v>AEPTCo subsidiaries in PJM</v>
      </c>
      <c r="G3" s="1208" t="str">
        <f>TCOS!$F$5</f>
        <v>AEPTCo subsidiaries in PJM</v>
      </c>
      <c r="H3" s="1208" t="str">
        <f>TCOS!$F$5</f>
        <v>AEPTCo subsidiaries in PJM</v>
      </c>
      <c r="I3" s="1208" t="str">
        <f>TCOS!$F$5</f>
        <v>AEPTCo subsidiaries in PJM</v>
      </c>
      <c r="J3" s="1208" t="str">
        <f>TCOS!$F$5</f>
        <v>AEPTCo subsidiaries in PJM</v>
      </c>
      <c r="K3" s="1208" t="str">
        <f>TCOS!$F$5</f>
        <v>AEPTCo subsidiaries in PJM</v>
      </c>
      <c r="L3" s="1208" t="str">
        <f>TCOS!$F$5</f>
        <v>AEPTCo subsidiaries in PJM</v>
      </c>
      <c r="M3" s="1208" t="str">
        <f>TCOS!$F$5</f>
        <v>AEPTCo subsidiaries in PJM</v>
      </c>
      <c r="N3" s="1208" t="str">
        <f>TCOS!$F$5</f>
        <v>AEPTCo subsidiaries in PJM</v>
      </c>
      <c r="O3" s="1208" t="str">
        <f>TCOS!$F$5</f>
        <v>AEPTCo subsidiaries in PJM</v>
      </c>
    </row>
    <row r="4" spans="1:21" ht="18">
      <c r="A4" s="1207" t="str">
        <f>"Cost of Service Formula Rate Using Actual/Projected FF1 Balances"</f>
        <v>Cost of Service Formula Rate Using Actual/Projected FF1 Balances</v>
      </c>
      <c r="B4" s="1207"/>
      <c r="C4" s="1207"/>
      <c r="D4" s="1207"/>
      <c r="E4" s="1207"/>
      <c r="F4" s="1207"/>
      <c r="G4" s="1207"/>
      <c r="H4" s="1207"/>
      <c r="I4" s="1207"/>
      <c r="J4" s="1207"/>
      <c r="K4" s="1207"/>
      <c r="L4" s="1207"/>
      <c r="M4" s="1207"/>
      <c r="N4" s="1207"/>
      <c r="O4" s="1207"/>
    </row>
    <row r="5" spans="1:21" ht="18">
      <c r="A5" s="1207" t="s">
        <v>24</v>
      </c>
      <c r="B5" s="1207"/>
      <c r="C5" s="1207"/>
      <c r="D5" s="1207"/>
      <c r="E5" s="1207"/>
      <c r="F5" s="1207"/>
      <c r="G5" s="1207"/>
      <c r="H5" s="1207"/>
      <c r="I5" s="1207"/>
      <c r="J5" s="1207"/>
      <c r="K5" s="1207"/>
      <c r="L5" s="1207"/>
      <c r="M5" s="1207"/>
      <c r="N5" s="1207"/>
      <c r="O5" s="1207"/>
    </row>
    <row r="6" spans="1:21" ht="18">
      <c r="A6" s="1200" t="str">
        <f>+TCOS!F9</f>
        <v>AEP Indiana Michigan Transmission Company</v>
      </c>
      <c r="B6" s="1200"/>
      <c r="C6" s="1200"/>
      <c r="D6" s="1200"/>
      <c r="E6" s="1200"/>
      <c r="F6" s="1200"/>
      <c r="G6" s="1200"/>
      <c r="H6" s="1200"/>
      <c r="I6" s="1200"/>
      <c r="J6" s="1200"/>
      <c r="K6" s="1200"/>
      <c r="L6" s="1200"/>
      <c r="M6" s="1200"/>
      <c r="N6" s="1200"/>
      <c r="O6" s="1200"/>
    </row>
    <row r="7" spans="1:21" ht="12.75" customHeight="1">
      <c r="A7" s="67"/>
      <c r="B7" s="67"/>
      <c r="C7" s="67"/>
      <c r="D7" s="67"/>
      <c r="E7" s="67"/>
      <c r="F7" s="67"/>
      <c r="G7" s="67"/>
      <c r="H7" s="67"/>
      <c r="I7" s="67"/>
      <c r="J7" s="67"/>
      <c r="K7" s="67"/>
      <c r="L7" s="67"/>
    </row>
    <row r="8" spans="1:21" ht="12.75" customHeight="1">
      <c r="A8" s="1235" t="s">
        <v>16</v>
      </c>
      <c r="B8" s="1235"/>
      <c r="C8" s="1235"/>
      <c r="D8" s="1235"/>
      <c r="E8" s="1235"/>
      <c r="F8" s="1235"/>
      <c r="G8" s="1235"/>
      <c r="H8" s="1235"/>
      <c r="I8" s="1235"/>
      <c r="J8" s="1235"/>
      <c r="K8" s="1235"/>
      <c r="L8" s="1235"/>
      <c r="M8" s="1235"/>
      <c r="N8" s="1235"/>
      <c r="O8" s="1235"/>
    </row>
    <row r="9" spans="1:21" ht="12.75" customHeight="1">
      <c r="A9" s="1235"/>
      <c r="B9" s="1235"/>
      <c r="C9" s="1235"/>
      <c r="D9" s="1235"/>
      <c r="E9" s="1235"/>
      <c r="F9" s="1235"/>
      <c r="G9" s="1235"/>
      <c r="H9" s="1235"/>
      <c r="I9" s="1235"/>
      <c r="J9" s="1235"/>
      <c r="K9" s="1235"/>
      <c r="L9" s="1235"/>
      <c r="M9" s="1235"/>
      <c r="N9" s="1235"/>
      <c r="O9" s="1235"/>
    </row>
    <row r="10" spans="1:21">
      <c r="A10" s="1235"/>
      <c r="B10" s="1235"/>
      <c r="C10" s="1235"/>
      <c r="D10" s="1235"/>
      <c r="E10" s="1235"/>
      <c r="F10" s="1235"/>
      <c r="G10" s="1235"/>
      <c r="H10" s="1235"/>
      <c r="I10" s="1235"/>
      <c r="J10" s="1235"/>
      <c r="K10" s="1235"/>
      <c r="L10" s="1235"/>
      <c r="M10" s="1235"/>
      <c r="N10" s="1235"/>
      <c r="O10" s="1235"/>
    </row>
    <row r="11" spans="1:21">
      <c r="A11" s="1235"/>
      <c r="B11" s="1235"/>
      <c r="C11" s="1235"/>
      <c r="D11" s="1235"/>
      <c r="E11" s="1235"/>
      <c r="F11" s="1235"/>
      <c r="G11" s="1235"/>
      <c r="H11" s="1235"/>
      <c r="I11" s="1235"/>
      <c r="J11" s="1235"/>
      <c r="K11" s="1235"/>
      <c r="L11" s="1235"/>
      <c r="M11" s="1235"/>
      <c r="N11" s="1235"/>
      <c r="O11" s="1235"/>
    </row>
    <row r="12" spans="1:21">
      <c r="B12" s="1" t="s">
        <v>460</v>
      </c>
      <c r="C12" s="1"/>
      <c r="D12" s="1159" t="s">
        <v>461</v>
      </c>
      <c r="E12" s="1159"/>
      <c r="F12" s="1159"/>
      <c r="G12" s="1159"/>
      <c r="H12" s="1"/>
      <c r="I12" s="1" t="s">
        <v>331</v>
      </c>
      <c r="J12" s="1"/>
      <c r="K12" s="1" t="s">
        <v>463</v>
      </c>
      <c r="L12" s="1"/>
      <c r="M12" s="1" t="s">
        <v>383</v>
      </c>
      <c r="N12" s="1"/>
      <c r="O12" s="1" t="s">
        <v>384</v>
      </c>
      <c r="P12" s="1"/>
      <c r="Q12" s="1" t="s">
        <v>357</v>
      </c>
      <c r="R12" s="1"/>
      <c r="S12" s="1" t="s">
        <v>390</v>
      </c>
      <c r="U12" s="47" t="s">
        <v>296</v>
      </c>
    </row>
    <row r="13" spans="1:21">
      <c r="I13" s="1234" t="s">
        <v>355</v>
      </c>
      <c r="Q13" s="1236" t="s">
        <v>356</v>
      </c>
      <c r="S13" s="1234" t="s">
        <v>358</v>
      </c>
      <c r="U13" s="111" t="s">
        <v>273</v>
      </c>
    </row>
    <row r="14" spans="1:21">
      <c r="A14" s="70" t="s">
        <v>354</v>
      </c>
      <c r="B14" s="70" t="s">
        <v>350</v>
      </c>
      <c r="C14" s="70"/>
      <c r="D14" s="86" t="s">
        <v>351</v>
      </c>
      <c r="E14" s="70"/>
      <c r="F14" s="70"/>
      <c r="G14" s="70"/>
      <c r="H14" s="70"/>
      <c r="I14" s="1213"/>
      <c r="J14" s="70"/>
      <c r="K14" s="70" t="s">
        <v>352</v>
      </c>
      <c r="L14" s="70"/>
      <c r="M14" s="70" t="s">
        <v>353</v>
      </c>
      <c r="N14" s="70"/>
      <c r="O14" s="70" t="s">
        <v>290</v>
      </c>
      <c r="Q14" s="1236"/>
      <c r="S14" s="1234"/>
      <c r="U14" s="111" t="s">
        <v>110</v>
      </c>
    </row>
    <row r="15" spans="1:21">
      <c r="A15" s="70"/>
      <c r="B15" s="70"/>
      <c r="C15" s="70"/>
      <c r="D15" s="86"/>
      <c r="E15" s="70"/>
      <c r="F15" s="70"/>
      <c r="G15" s="70"/>
      <c r="H15" s="70"/>
      <c r="I15" t="s">
        <v>288</v>
      </c>
      <c r="J15" s="70"/>
      <c r="K15" s="70"/>
      <c r="L15" s="70"/>
      <c r="M15" s="70"/>
      <c r="N15" s="70"/>
      <c r="O15" s="70"/>
      <c r="Q15" s="94"/>
      <c r="S15" s="70" t="s">
        <v>290</v>
      </c>
    </row>
    <row r="16" spans="1:21">
      <c r="I16" t="s">
        <v>289</v>
      </c>
    </row>
    <row r="17" spans="1:21">
      <c r="A17" s="1">
        <v>1</v>
      </c>
      <c r="B17" s="608"/>
      <c r="D17" s="1237"/>
      <c r="E17" s="1237"/>
      <c r="F17" s="1237"/>
      <c r="G17" s="1237"/>
      <c r="I17" s="609"/>
      <c r="K17" s="607"/>
      <c r="L17" s="62"/>
      <c r="M17" s="607"/>
      <c r="O17" s="74">
        <f>+K17-M17</f>
        <v>0</v>
      </c>
      <c r="Q17" s="88">
        <f>IF(I17="G",TCOS!L235,IF(I17="T",1,0))</f>
        <v>0</v>
      </c>
      <c r="S17" s="74">
        <f>ROUND(O17*Q17,0)</f>
        <v>0</v>
      </c>
      <c r="U17" s="610"/>
    </row>
    <row r="18" spans="1:21">
      <c r="A18" s="1"/>
      <c r="D18" s="1237"/>
      <c r="E18" s="1237"/>
      <c r="F18" s="1237"/>
      <c r="G18" s="1237"/>
      <c r="K18" s="62"/>
      <c r="L18" s="62"/>
      <c r="M18" s="62"/>
      <c r="O18" s="62"/>
      <c r="Q18" s="88"/>
      <c r="S18" s="62"/>
    </row>
    <row r="19" spans="1:21">
      <c r="A19" s="1"/>
      <c r="D19" s="1237"/>
      <c r="E19" s="1237"/>
      <c r="F19" s="1237"/>
      <c r="G19" s="1237"/>
      <c r="K19" s="62"/>
      <c r="L19" s="62"/>
      <c r="M19" s="62"/>
      <c r="O19" s="62"/>
      <c r="Q19" s="88"/>
      <c r="S19" s="62"/>
    </row>
    <row r="20" spans="1:21">
      <c r="A20" s="1"/>
      <c r="K20" s="62"/>
      <c r="L20" s="62"/>
      <c r="M20" s="62"/>
      <c r="O20" s="62"/>
      <c r="Q20" s="88"/>
      <c r="S20" s="62"/>
    </row>
    <row r="21" spans="1:21">
      <c r="A21" s="1"/>
      <c r="K21" s="62"/>
      <c r="L21" s="62"/>
      <c r="M21" s="62"/>
      <c r="O21" s="62"/>
      <c r="Q21" s="88"/>
      <c r="S21" s="62"/>
    </row>
    <row r="22" spans="1:21" ht="12" customHeight="1">
      <c r="A22" s="1">
        <f>+A17+1</f>
        <v>2</v>
      </c>
      <c r="B22" s="608"/>
      <c r="D22" s="1237"/>
      <c r="E22" s="1237"/>
      <c r="F22" s="1237"/>
      <c r="G22" s="1237"/>
      <c r="I22" s="609"/>
      <c r="K22" s="607"/>
      <c r="L22" s="62"/>
      <c r="M22" s="607"/>
      <c r="O22" s="74">
        <f>+K22-M22</f>
        <v>0</v>
      </c>
      <c r="Q22" s="88">
        <f>IF(I22="G",TCOS!L235,IF(I22="T",1,0))</f>
        <v>0</v>
      </c>
      <c r="S22" s="74">
        <f>ROUND(O22*Q22,0)</f>
        <v>0</v>
      </c>
      <c r="U22" s="610"/>
    </row>
    <row r="23" spans="1:21">
      <c r="A23" s="1"/>
      <c r="D23" s="1237"/>
      <c r="E23" s="1237"/>
      <c r="F23" s="1237"/>
      <c r="G23" s="1237"/>
      <c r="K23" s="62"/>
      <c r="L23" s="62"/>
      <c r="M23" s="62"/>
      <c r="O23" s="62"/>
      <c r="Q23" s="88"/>
      <c r="S23" s="62"/>
    </row>
    <row r="24" spans="1:21">
      <c r="A24" s="1"/>
      <c r="D24" s="1237"/>
      <c r="E24" s="1237"/>
      <c r="F24" s="1237"/>
      <c r="G24" s="1237"/>
      <c r="K24" s="62"/>
      <c r="L24" s="62"/>
      <c r="M24" s="62"/>
      <c r="O24" s="62"/>
      <c r="Q24" s="88"/>
      <c r="S24" s="62"/>
    </row>
    <row r="25" spans="1:21">
      <c r="A25" s="1"/>
      <c r="I25" s="1"/>
      <c r="K25" s="62"/>
      <c r="L25" s="62"/>
      <c r="M25" s="62"/>
      <c r="O25" s="62"/>
      <c r="Q25" s="88"/>
      <c r="S25" s="62"/>
    </row>
    <row r="26" spans="1:21">
      <c r="A26" s="1"/>
      <c r="I26" s="1"/>
      <c r="K26" s="62"/>
      <c r="L26" s="62"/>
      <c r="M26" s="62"/>
      <c r="O26" s="62"/>
      <c r="Q26" s="88"/>
      <c r="S26" s="62"/>
    </row>
    <row r="27" spans="1:21">
      <c r="A27" s="1">
        <f>+A22+1</f>
        <v>3</v>
      </c>
      <c r="B27" s="608"/>
      <c r="D27" s="1237"/>
      <c r="E27" s="1237"/>
      <c r="F27" s="1237"/>
      <c r="G27" s="1237"/>
      <c r="I27" s="609"/>
      <c r="K27" s="607"/>
      <c r="L27" s="62"/>
      <c r="M27" s="607"/>
      <c r="O27" s="74">
        <f>+K27-M27</f>
        <v>0</v>
      </c>
      <c r="Q27" s="88">
        <f>IF(I27="G",TCOS!L235,IF(I27="T",1,0))</f>
        <v>0</v>
      </c>
      <c r="S27" s="74">
        <f>ROUND(O27*Q27,0)</f>
        <v>0</v>
      </c>
      <c r="U27" s="610"/>
    </row>
    <row r="28" spans="1:21">
      <c r="A28" s="1"/>
      <c r="D28" s="1237"/>
      <c r="E28" s="1237"/>
      <c r="F28" s="1237"/>
      <c r="G28" s="1237"/>
      <c r="K28" s="62"/>
      <c r="L28" s="62"/>
      <c r="M28" s="62"/>
      <c r="O28" s="62"/>
      <c r="Q28" s="88"/>
      <c r="S28" s="62"/>
    </row>
    <row r="29" spans="1:21">
      <c r="A29" s="1"/>
      <c r="D29" s="1237"/>
      <c r="E29" s="1237"/>
      <c r="F29" s="1237"/>
      <c r="G29" s="1237"/>
      <c r="K29" s="62"/>
      <c r="L29" s="62"/>
      <c r="M29" s="62"/>
      <c r="O29" s="62"/>
      <c r="Q29" s="88"/>
    </row>
    <row r="30" spans="1:21">
      <c r="A30" s="1"/>
      <c r="O30" s="62"/>
      <c r="Q30" s="88"/>
    </row>
    <row r="31" spans="1:21">
      <c r="A31" s="1"/>
      <c r="O31" s="62"/>
      <c r="Q31" s="88"/>
    </row>
    <row r="32" spans="1:21">
      <c r="A32" s="1"/>
      <c r="O32" s="62"/>
      <c r="Q32" s="88"/>
    </row>
    <row r="33" spans="1:19" ht="13.5" thickBot="1">
      <c r="A33" s="1">
        <f>+A27+1</f>
        <v>4</v>
      </c>
      <c r="K33" t="e">
        <f>"Net (Gain) or Loss for "&amp;TCOS!#REF!&amp;""</f>
        <v>#REF!</v>
      </c>
      <c r="O33" s="92">
        <f>SUM(O17:O27)</f>
        <v>0</v>
      </c>
      <c r="Q33" s="93"/>
      <c r="S33" s="92">
        <f>SUM(S17:S27)</f>
        <v>0</v>
      </c>
    </row>
    <row r="34" spans="1:19" ht="13.5" thickTop="1">
      <c r="A34" s="1"/>
      <c r="O34" s="62"/>
      <c r="Q34" s="93"/>
    </row>
  </sheetData>
  <mergeCells count="12">
    <mergeCell ref="Q13:Q14"/>
    <mergeCell ref="S13:S14"/>
    <mergeCell ref="D17:G19"/>
    <mergeCell ref="D22:G24"/>
    <mergeCell ref="D27:G29"/>
    <mergeCell ref="A3:O3"/>
    <mergeCell ref="A4:O4"/>
    <mergeCell ref="A5:O5"/>
    <mergeCell ref="I13:I14"/>
    <mergeCell ref="D12:G12"/>
    <mergeCell ref="A6:O6"/>
    <mergeCell ref="A8:O11"/>
  </mergeCells>
  <phoneticPr fontId="90" type="noConversion"/>
  <pageMargins left="0.75" right="0.75" top="1" bottom="1" header="0.75" footer="0.5"/>
  <pageSetup scale="76" orientation="landscape" r:id="rId1"/>
  <headerFooter alignWithMargins="0">
    <oddHeader>&amp;R&amp;"Arial,Bold"Formula Rate 
&amp;A
Page &amp;P of &amp;N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37"/>
  <sheetViews>
    <sheetView tabSelected="1" view="pageBreakPreview" zoomScale="90" zoomScaleNormal="80" zoomScaleSheetLayoutView="90" workbookViewId="0">
      <selection activeCell="O54" sqref="O54"/>
    </sheetView>
  </sheetViews>
  <sheetFormatPr defaultColWidth="11.42578125" defaultRowHeight="12.75"/>
  <cols>
    <col min="1" max="1" width="37.85546875" style="925" customWidth="1"/>
    <col min="2" max="2" width="25.42578125" style="925" customWidth="1"/>
    <col min="3" max="3" width="53.42578125" style="925" customWidth="1"/>
    <col min="4" max="4" width="18.42578125" style="925" customWidth="1"/>
    <col min="5" max="5" width="11.42578125" style="925" customWidth="1"/>
    <col min="6" max="6" width="13.7109375" style="925" bestFit="1" customWidth="1"/>
    <col min="7" max="16384" width="11.42578125" style="925"/>
  </cols>
  <sheetData>
    <row r="1" spans="1:6" ht="15.75">
      <c r="A1" s="924" t="s">
        <v>414</v>
      </c>
    </row>
    <row r="2" spans="1:6" ht="15.75">
      <c r="A2" s="924" t="s">
        <v>414</v>
      </c>
    </row>
    <row r="3" spans="1:6" ht="15.75">
      <c r="A3" s="1239" t="str">
        <f>TCOS!F5</f>
        <v>AEPTCo subsidiaries in PJM</v>
      </c>
      <c r="B3" s="1239" t="s">
        <v>329</v>
      </c>
      <c r="C3" s="1239" t="s">
        <v>329</v>
      </c>
      <c r="D3" s="1239" t="s">
        <v>329</v>
      </c>
    </row>
    <row r="4" spans="1:6" ht="15.75">
      <c r="A4" s="1239" t="str">
        <f>"Cost of Service Formula Rate Using Actual/Projected FF1 Balances"</f>
        <v>Cost of Service Formula Rate Using Actual/Projected FF1 Balances</v>
      </c>
      <c r="B4" s="1239"/>
      <c r="C4" s="1239"/>
      <c r="D4" s="1239"/>
    </row>
    <row r="5" spans="1:6" ht="15.75">
      <c r="A5" s="1239" t="s">
        <v>778</v>
      </c>
      <c r="B5" s="1239"/>
      <c r="C5" s="1239"/>
      <c r="D5" s="1239"/>
    </row>
    <row r="6" spans="1:6" ht="15.75">
      <c r="A6" s="1239" t="s">
        <v>779</v>
      </c>
      <c r="B6" s="1239"/>
      <c r="C6" s="1239"/>
      <c r="D6" s="1239"/>
    </row>
    <row r="7" spans="1:6" ht="15.75">
      <c r="A7" s="1240" t="str">
        <f>TCOS!F9</f>
        <v>AEP Indiana Michigan Transmission Company</v>
      </c>
      <c r="B7" s="1240"/>
      <c r="C7" s="1240"/>
      <c r="D7" s="1240"/>
    </row>
    <row r="8" spans="1:6" ht="15.75">
      <c r="A8" s="927"/>
      <c r="B8" s="928"/>
      <c r="C8" s="928"/>
      <c r="D8" s="928"/>
    </row>
    <row r="9" spans="1:6" ht="15.75">
      <c r="A9" s="929"/>
      <c r="B9" s="930"/>
      <c r="C9" s="930"/>
      <c r="D9" s="930"/>
    </row>
    <row r="10" spans="1:6" ht="15.75">
      <c r="A10" s="931"/>
      <c r="B10" s="931"/>
      <c r="C10" s="931"/>
      <c r="D10" s="931"/>
    </row>
    <row r="11" spans="1:6" ht="15.75">
      <c r="A11" s="930" t="s">
        <v>780</v>
      </c>
      <c r="B11" s="930" t="s">
        <v>460</v>
      </c>
      <c r="C11" s="932"/>
      <c r="D11" s="930" t="s">
        <v>461</v>
      </c>
    </row>
    <row r="12" spans="1:6" ht="15.75">
      <c r="A12" s="926">
        <f>1</f>
        <v>1</v>
      </c>
      <c r="B12" s="933" t="s">
        <v>781</v>
      </c>
      <c r="C12" s="932"/>
      <c r="D12" s="926"/>
    </row>
    <row r="13" spans="1:6" ht="15.75">
      <c r="A13" s="926"/>
      <c r="B13" s="933"/>
      <c r="C13" s="932"/>
      <c r="D13" s="926"/>
    </row>
    <row r="14" spans="1:6" ht="15.75">
      <c r="A14" s="926"/>
      <c r="B14" s="932"/>
      <c r="C14" s="932"/>
      <c r="D14" s="932"/>
    </row>
    <row r="15" spans="1:6" ht="15.75">
      <c r="A15" s="926">
        <f>A12+1</f>
        <v>2</v>
      </c>
      <c r="B15" s="934" t="s">
        <v>782</v>
      </c>
      <c r="C15" s="935"/>
      <c r="D15" s="936"/>
    </row>
    <row r="16" spans="1:6" ht="15.75">
      <c r="A16" s="926">
        <f t="shared" ref="A16:A23" si="0">+A15+1</f>
        <v>3</v>
      </c>
      <c r="B16" s="937" t="s">
        <v>783</v>
      </c>
      <c r="C16" s="937"/>
      <c r="D16" s="1083">
        <f>-1533762-77456993</f>
        <v>-78990755</v>
      </c>
      <c r="F16" s="938"/>
    </row>
    <row r="17" spans="1:6" ht="15.75">
      <c r="A17" s="926">
        <f t="shared" si="0"/>
        <v>4</v>
      </c>
      <c r="B17" s="937" t="s">
        <v>784</v>
      </c>
      <c r="C17" s="937"/>
      <c r="D17" s="939">
        <v>0</v>
      </c>
      <c r="F17" s="938"/>
    </row>
    <row r="18" spans="1:6" ht="15.75">
      <c r="A18" s="926">
        <f t="shared" si="0"/>
        <v>5</v>
      </c>
      <c r="B18" s="937" t="s">
        <v>785</v>
      </c>
      <c r="C18" s="937"/>
      <c r="D18" s="939">
        <f>+D16-D17</f>
        <v>-78990755</v>
      </c>
    </row>
    <row r="19" spans="1:6" ht="15.75">
      <c r="A19" s="926">
        <f t="shared" si="0"/>
        <v>6</v>
      </c>
      <c r="B19" s="937" t="s">
        <v>786</v>
      </c>
      <c r="C19" s="937"/>
      <c r="D19" s="1083">
        <v>1688246267.799989</v>
      </c>
    </row>
    <row r="20" spans="1:6" ht="15.75">
      <c r="A20" s="926">
        <f t="shared" si="0"/>
        <v>7</v>
      </c>
      <c r="B20" s="937" t="s">
        <v>787</v>
      </c>
      <c r="C20" s="937"/>
      <c r="D20" s="940">
        <f>+D18/D19</f>
        <v>-4.6788644824274091E-2</v>
      </c>
    </row>
    <row r="21" spans="1:6" ht="15.75">
      <c r="A21" s="926">
        <f t="shared" si="0"/>
        <v>8</v>
      </c>
      <c r="B21" s="937" t="s">
        <v>788</v>
      </c>
      <c r="C21" s="937"/>
      <c r="D21" s="971">
        <v>-4.2999999999999997E-2</v>
      </c>
      <c r="E21" s="941"/>
    </row>
    <row r="22" spans="1:6" ht="15.75">
      <c r="A22" s="926">
        <f t="shared" si="0"/>
        <v>9</v>
      </c>
      <c r="B22" s="937" t="s">
        <v>789</v>
      </c>
      <c r="C22" s="937"/>
      <c r="D22" s="942">
        <v>10443472.650069876</v>
      </c>
    </row>
    <row r="23" spans="1:6" ht="15.75">
      <c r="A23" s="926">
        <f t="shared" si="0"/>
        <v>10</v>
      </c>
      <c r="B23" s="937" t="str">
        <f>"Allowable TransCo PBOP Expense for current year (Ln "&amp;A21&amp;" * Ln "&amp;A22&amp;")"</f>
        <v>Allowable TransCo PBOP Expense for current year (Ln 8 * Ln 9)</v>
      </c>
      <c r="C23" s="937"/>
      <c r="D23" s="943">
        <f>+D21*D22</f>
        <v>-449069.32395300461</v>
      </c>
    </row>
    <row r="24" spans="1:6" ht="15.75">
      <c r="A24" s="926"/>
      <c r="B24" s="937"/>
      <c r="C24" s="937"/>
      <c r="D24" s="943"/>
    </row>
    <row r="25" spans="1:6" ht="15.75">
      <c r="A25" s="926"/>
      <c r="B25" s="937"/>
      <c r="C25" s="937"/>
      <c r="D25" s="943"/>
    </row>
    <row r="26" spans="1:6" ht="15.75">
      <c r="A26" s="926">
        <f>+A23+1</f>
        <v>11</v>
      </c>
      <c r="B26" s="944" t="s">
        <v>790</v>
      </c>
      <c r="C26" s="937"/>
      <c r="D26" s="945">
        <v>0</v>
      </c>
    </row>
    <row r="27" spans="1:6" ht="15.75">
      <c r="A27" s="926">
        <f>+A26+1</f>
        <v>12</v>
      </c>
      <c r="B27" s="937" t="s">
        <v>791</v>
      </c>
      <c r="C27" s="937"/>
      <c r="D27" s="945">
        <v>0</v>
      </c>
    </row>
    <row r="28" spans="1:6" ht="15.75">
      <c r="A28" s="926">
        <f>+A27+1</f>
        <v>13</v>
      </c>
      <c r="B28" s="937" t="s">
        <v>792</v>
      </c>
      <c r="C28" s="937"/>
      <c r="D28" s="945">
        <v>0</v>
      </c>
    </row>
    <row r="29" spans="1:6" ht="16.5" thickBot="1">
      <c r="A29" s="946">
        <f>+A28+1</f>
        <v>14</v>
      </c>
      <c r="B29" s="947" t="s">
        <v>793</v>
      </c>
      <c r="C29" s="948"/>
      <c r="D29" s="949">
        <v>-748121.03535584826</v>
      </c>
    </row>
    <row r="30" spans="1:6" ht="15.75">
      <c r="A30" s="926">
        <f>+A29+1</f>
        <v>15</v>
      </c>
      <c r="B30" s="932" t="s">
        <v>794</v>
      </c>
      <c r="C30" s="932" t="str">
        <f>"(Sum Lines "&amp;A26&amp;"-"&amp;A29&amp;")"</f>
        <v>(Sum Lines 11-14)</v>
      </c>
      <c r="D30" s="950">
        <f>SUM(D26:D29)</f>
        <v>-748121.03535584826</v>
      </c>
    </row>
    <row r="31" spans="1:6" ht="15.75">
      <c r="A31" s="926"/>
      <c r="B31" s="932"/>
      <c r="C31" s="932"/>
      <c r="D31" s="950"/>
    </row>
    <row r="32" spans="1:6" ht="15.75">
      <c r="A32" s="926"/>
      <c r="B32" s="932"/>
      <c r="C32" s="932"/>
      <c r="D32" s="950"/>
    </row>
    <row r="33" spans="1:4" ht="15.75">
      <c r="A33" s="926">
        <f>A30+1</f>
        <v>16</v>
      </c>
      <c r="B33" s="932" t="s">
        <v>795</v>
      </c>
      <c r="C33" s="932" t="str">
        <f>"Line "&amp;A23&amp;" less Line "&amp;A30&amp;""</f>
        <v>Line 10 less Line 15</v>
      </c>
      <c r="D33" s="951">
        <f>D23-D30</f>
        <v>299051.71140284365</v>
      </c>
    </row>
    <row r="34" spans="1:4" ht="15.75">
      <c r="A34" s="926"/>
      <c r="B34" s="932"/>
      <c r="C34" s="932"/>
      <c r="D34" s="951"/>
    </row>
    <row r="35" spans="1:4" ht="15.75">
      <c r="A35" s="937" t="s">
        <v>796</v>
      </c>
    </row>
    <row r="37" spans="1:4" ht="387.75" customHeight="1">
      <c r="A37" s="1238" t="s">
        <v>797</v>
      </c>
      <c r="B37" s="1238"/>
      <c r="C37" s="1238"/>
      <c r="D37" s="1238"/>
    </row>
  </sheetData>
  <mergeCells count="6">
    <mergeCell ref="A37:D37"/>
    <mergeCell ref="A3:D3"/>
    <mergeCell ref="A4:D4"/>
    <mergeCell ref="A5:D5"/>
    <mergeCell ref="A6:D6"/>
    <mergeCell ref="A7:D7"/>
  </mergeCells>
  <pageMargins left="0.25" right="0.33" top="0.78" bottom="0.43" header="0.5" footer="0.21"/>
  <pageSetup scale="68" fitToHeight="0" orientation="portrait" r:id="rId1"/>
  <headerFooter alignWithMargins="0">
    <oddHeader>&amp;R
&amp;A&amp;"Arial,Bold"
&amp;"Arial,Regular"Page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codeName="Sheet21">
    <pageSetUpPr fitToPage="1"/>
  </sheetPr>
  <dimension ref="A1:G37"/>
  <sheetViews>
    <sheetView tabSelected="1" defaultGridColor="0" view="pageBreakPreview" colorId="22" zoomScale="60" zoomScaleNormal="70" workbookViewId="0">
      <selection activeCell="O54" sqref="O54"/>
    </sheetView>
  </sheetViews>
  <sheetFormatPr defaultColWidth="14.7109375" defaultRowHeight="15"/>
  <cols>
    <col min="1" max="1" width="5.7109375" style="612" customWidth="1"/>
    <col min="2" max="2" width="42.5703125" style="612" customWidth="1"/>
    <col min="3" max="4" width="18.28515625" style="612" bestFit="1" customWidth="1"/>
    <col min="5" max="5" width="18" style="612" customWidth="1"/>
    <col min="6" max="7" width="16.28515625" style="612" bestFit="1" customWidth="1"/>
    <col min="8" max="8" width="14.7109375" style="612" customWidth="1"/>
    <col min="9" max="16384" width="14.7109375" style="612"/>
  </cols>
  <sheetData>
    <row r="1" spans="1:7" ht="15.75">
      <c r="A1" s="738" t="s">
        <v>414</v>
      </c>
    </row>
    <row r="2" spans="1:7" ht="15.75">
      <c r="A2" s="738" t="s">
        <v>414</v>
      </c>
    </row>
    <row r="3" spans="1:7" ht="19.5">
      <c r="A3" s="612" t="s">
        <v>414</v>
      </c>
      <c r="B3" s="1243" t="str">
        <f>TCOS!$F$5</f>
        <v>AEPTCo subsidiaries in PJM</v>
      </c>
      <c r="C3" s="1243"/>
      <c r="D3" s="1243"/>
      <c r="E3" s="1243"/>
      <c r="F3" s="611"/>
      <c r="G3" s="611"/>
    </row>
    <row r="4" spans="1:7" ht="19.5">
      <c r="B4" s="1243" t="s">
        <v>224</v>
      </c>
      <c r="C4" s="1243"/>
      <c r="D4" s="1243"/>
      <c r="E4" s="1243"/>
      <c r="F4" s="611"/>
      <c r="G4" s="611"/>
    </row>
    <row r="5" spans="1:7" ht="19.5">
      <c r="B5" s="1243" t="s">
        <v>225</v>
      </c>
      <c r="C5" s="1243"/>
      <c r="D5" s="1243"/>
      <c r="E5" s="1243"/>
      <c r="F5" s="611"/>
      <c r="G5" s="611"/>
    </row>
    <row r="6" spans="1:7" ht="19.5">
      <c r="B6" s="1243" t="s">
        <v>226</v>
      </c>
      <c r="C6" s="1243"/>
      <c r="D6" s="1243"/>
      <c r="E6" s="1243"/>
      <c r="F6" s="611"/>
      <c r="G6" s="611"/>
    </row>
    <row r="7" spans="1:7" ht="19.5">
      <c r="B7" s="1243" t="s">
        <v>986</v>
      </c>
      <c r="C7" s="1243"/>
      <c r="D7" s="1243"/>
      <c r="E7" s="1243"/>
      <c r="F7" s="611"/>
      <c r="G7" s="611"/>
    </row>
    <row r="8" spans="1:7" ht="19.5">
      <c r="B8" s="1243"/>
      <c r="C8" s="1243"/>
      <c r="D8" s="1243"/>
      <c r="E8" s="1243"/>
      <c r="F8" s="611"/>
      <c r="G8" s="611"/>
    </row>
    <row r="9" spans="1:7" ht="19.5">
      <c r="B9" s="1244" t="str">
        <f>TCOS!F9</f>
        <v>AEP Indiana Michigan Transmission Company</v>
      </c>
      <c r="C9" s="1159"/>
      <c r="D9" s="1159"/>
      <c r="E9" s="1159"/>
      <c r="F9" s="611"/>
      <c r="G9" s="611"/>
    </row>
    <row r="11" spans="1:7">
      <c r="B11" s="613"/>
      <c r="C11" s="613"/>
      <c r="D11" s="614"/>
    </row>
    <row r="12" spans="1:7" ht="15" customHeight="1">
      <c r="B12" s="613"/>
      <c r="C12" s="613"/>
      <c r="D12" s="614"/>
    </row>
    <row r="13" spans="1:7" ht="15.75">
      <c r="B13" s="613"/>
      <c r="C13" s="615" t="s">
        <v>33</v>
      </c>
      <c r="D13" s="615" t="s">
        <v>35</v>
      </c>
    </row>
    <row r="14" spans="1:7" ht="16.5" thickBot="1">
      <c r="B14" s="614"/>
      <c r="C14" s="615" t="s">
        <v>34</v>
      </c>
      <c r="D14" s="616" t="s">
        <v>295</v>
      </c>
    </row>
    <row r="15" spans="1:7">
      <c r="B15" s="617" t="s">
        <v>36</v>
      </c>
      <c r="C15" s="618"/>
      <c r="D15" s="104"/>
    </row>
    <row r="16" spans="1:7">
      <c r="B16" s="619"/>
      <c r="C16" s="613"/>
      <c r="D16" s="105"/>
    </row>
    <row r="17" spans="2:5">
      <c r="B17" s="620" t="s">
        <v>54</v>
      </c>
      <c r="C17" s="125">
        <v>350.1</v>
      </c>
      <c r="D17" s="112">
        <v>1.66E-2</v>
      </c>
    </row>
    <row r="18" spans="2:5">
      <c r="B18" s="612" t="s">
        <v>37</v>
      </c>
      <c r="C18" s="125">
        <v>352</v>
      </c>
      <c r="D18" s="112">
        <v>1.77E-2</v>
      </c>
      <c r="E18" s="112"/>
    </row>
    <row r="19" spans="2:5">
      <c r="B19" s="612" t="s">
        <v>38</v>
      </c>
      <c r="C19" s="125">
        <v>353</v>
      </c>
      <c r="D19" s="112">
        <v>2.4299999999999999E-2</v>
      </c>
    </row>
    <row r="20" spans="2:5">
      <c r="B20" s="612" t="s">
        <v>39</v>
      </c>
      <c r="C20" s="125">
        <v>354</v>
      </c>
      <c r="D20" s="112">
        <v>2.5700000000000001E-2</v>
      </c>
    </row>
    <row r="21" spans="2:5">
      <c r="B21" s="612" t="s">
        <v>40</v>
      </c>
      <c r="C21" s="125">
        <v>355</v>
      </c>
      <c r="D21" s="112">
        <v>3.1899999999999998E-2</v>
      </c>
      <c r="E21" s="112"/>
    </row>
    <row r="22" spans="2:5">
      <c r="B22" s="612" t="s">
        <v>41</v>
      </c>
      <c r="C22" s="125">
        <v>356</v>
      </c>
      <c r="D22" s="112">
        <v>2.35E-2</v>
      </c>
      <c r="E22" s="621"/>
    </row>
    <row r="23" spans="2:5">
      <c r="B23" s="612" t="s">
        <v>42</v>
      </c>
      <c r="C23" s="125">
        <v>357</v>
      </c>
      <c r="D23" s="112">
        <v>2.3E-2</v>
      </c>
    </row>
    <row r="24" spans="2:5">
      <c r="B24" s="612" t="s">
        <v>43</v>
      </c>
      <c r="C24" s="125">
        <v>358</v>
      </c>
      <c r="D24" s="112">
        <v>1.9300000000000001E-2</v>
      </c>
    </row>
    <row r="26" spans="2:5" ht="64.900000000000006" customHeight="1">
      <c r="B26" s="1245" t="s">
        <v>827</v>
      </c>
      <c r="C26" s="1246"/>
      <c r="D26" s="1246"/>
      <c r="E26" s="1246"/>
    </row>
    <row r="27" spans="2:5">
      <c r="B27" s="622"/>
      <c r="C27" s="450"/>
      <c r="D27" s="450"/>
      <c r="E27" s="450"/>
    </row>
    <row r="28" spans="2:5" ht="15.75">
      <c r="B28" s="961" t="s">
        <v>72</v>
      </c>
      <c r="C28" s="962" t="s">
        <v>828</v>
      </c>
      <c r="D28" s="623" t="s">
        <v>545</v>
      </c>
      <c r="E28" s="623"/>
    </row>
    <row r="29" spans="2:5">
      <c r="B29" s="624" t="s">
        <v>544</v>
      </c>
      <c r="C29" s="625">
        <v>3055969085</v>
      </c>
      <c r="D29" s="626">
        <f>C29</f>
        <v>3055969085</v>
      </c>
      <c r="E29" s="626"/>
    </row>
    <row r="30" spans="2:5">
      <c r="B30" s="624" t="s">
        <v>543</v>
      </c>
      <c r="C30" s="625">
        <v>2705758568</v>
      </c>
      <c r="D30" s="626">
        <f>C30</f>
        <v>2705758568</v>
      </c>
      <c r="E30" s="626"/>
    </row>
    <row r="31" spans="2:5">
      <c r="B31" s="624" t="s">
        <v>230</v>
      </c>
      <c r="C31" s="625">
        <f>AVERAGE(C29:C30)</f>
        <v>2880863826.5</v>
      </c>
      <c r="D31" s="626">
        <f>C31</f>
        <v>2880863826.5</v>
      </c>
      <c r="E31" s="626"/>
    </row>
    <row r="32" spans="2:5">
      <c r="B32" s="627" t="s">
        <v>546</v>
      </c>
      <c r="C32" s="625">
        <v>74085653</v>
      </c>
      <c r="D32" s="626">
        <f>C32</f>
        <v>74085653</v>
      </c>
      <c r="E32" s="626"/>
    </row>
    <row r="33" spans="2:5" ht="15.75">
      <c r="B33" s="963" t="s">
        <v>44</v>
      </c>
      <c r="C33" s="964" t="s">
        <v>414</v>
      </c>
      <c r="D33" s="965">
        <f>D32/D31</f>
        <v>2.5716471677180122E-2</v>
      </c>
      <c r="E33" s="628"/>
    </row>
    <row r="35" spans="2:5">
      <c r="B35" s="1241" t="s">
        <v>987</v>
      </c>
      <c r="C35" s="1242"/>
      <c r="D35" s="1242"/>
      <c r="E35" s="1242"/>
    </row>
    <row r="36" spans="2:5">
      <c r="B36" s="1242"/>
      <c r="C36" s="1242"/>
      <c r="D36" s="1242"/>
      <c r="E36" s="1242"/>
    </row>
    <row r="37" spans="2:5" ht="91.9" customHeight="1">
      <c r="B37" s="1242"/>
      <c r="C37" s="1242"/>
      <c r="D37" s="1242"/>
      <c r="E37" s="1242"/>
    </row>
  </sheetData>
  <mergeCells count="9">
    <mergeCell ref="B35:E37"/>
    <mergeCell ref="B3:E3"/>
    <mergeCell ref="B4:E4"/>
    <mergeCell ref="B5:E5"/>
    <mergeCell ref="B6:E6"/>
    <mergeCell ref="B7:E7"/>
    <mergeCell ref="B8:E8"/>
    <mergeCell ref="B9:E9"/>
    <mergeCell ref="B26:E26"/>
  </mergeCells>
  <phoneticPr fontId="5" type="noConversion"/>
  <conditionalFormatting sqref="B3:B9 H3:IV10 C4:E8 F4:G9 B11:IV11 F12:IV65536 B38:E65536">
    <cfRule type="cellIs" dxfId="3" priority="4" stopIfTrue="1" operator="lessThan">
      <formula>0</formula>
    </cfRule>
  </conditionalFormatting>
  <conditionalFormatting sqref="B26:B32">
    <cfRule type="cellIs" dxfId="2" priority="2" stopIfTrue="1" operator="lessThan">
      <formula>0</formula>
    </cfRule>
  </conditionalFormatting>
  <conditionalFormatting sqref="C28:E33">
    <cfRule type="cellIs" dxfId="1" priority="1" stopIfTrue="1" operator="lessThan">
      <formula>0</formula>
    </cfRule>
  </conditionalFormatting>
  <conditionalFormatting sqref="D12:D13 B12:C23 E12:E25 D15:D23 B24:D24 D34 B34:B35">
    <cfRule type="cellIs" dxfId="0" priority="3" stopIfTrue="1" operator="lessThan">
      <formula>0</formula>
    </cfRule>
  </conditionalFormatting>
  <pageMargins left="0.55000000000000004" right="0.55000000000000004" top="1.25" bottom="0.75" header="0.75" footer="0.27"/>
  <pageSetup scale="76" orientation="portrait" r:id="rId1"/>
  <headerFooter alignWithMargins="0">
    <oddHeader>&amp;RFormula Rate 
&amp;A
Page &amp;P of &amp;N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238"/>
  <sheetViews>
    <sheetView tabSelected="1" view="pageBreakPreview" zoomScale="75" zoomScaleNormal="75" zoomScaleSheetLayoutView="75" workbookViewId="0">
      <selection activeCell="O54" sqref="O54"/>
    </sheetView>
  </sheetViews>
  <sheetFormatPr defaultRowHeight="12.75"/>
  <cols>
    <col min="1" max="1" width="4.5703125" style="629" customWidth="1"/>
    <col min="2" max="2" width="68.140625" style="629" customWidth="1"/>
    <col min="3" max="3" width="18.140625" style="629" customWidth="1"/>
    <col min="4" max="4" width="2.140625" style="629" customWidth="1"/>
    <col min="5" max="5" width="17.28515625" style="629" customWidth="1"/>
    <col min="6" max="6" width="16.28515625" style="629" customWidth="1"/>
    <col min="7" max="7" width="14.5703125" style="629" customWidth="1"/>
    <col min="8" max="8" width="17.5703125" style="629" customWidth="1"/>
    <col min="9" max="9" width="14.42578125" style="629" customWidth="1"/>
    <col min="10" max="10" width="15.7109375" style="629" customWidth="1"/>
    <col min="11" max="16384" width="9.140625" style="629"/>
  </cols>
  <sheetData>
    <row r="1" spans="1:10" ht="15.75">
      <c r="A1" s="738" t="s">
        <v>414</v>
      </c>
    </row>
    <row r="2" spans="1:10" ht="15.75">
      <c r="A2" s="738" t="s">
        <v>414</v>
      </c>
    </row>
    <row r="3" spans="1:10">
      <c r="A3" s="1248" t="s">
        <v>513</v>
      </c>
      <c r="B3" s="1248"/>
      <c r="C3" s="1248"/>
      <c r="D3" s="1248"/>
      <c r="E3" s="1248"/>
      <c r="F3" s="1248"/>
      <c r="G3" s="1248"/>
      <c r="H3" s="1248"/>
      <c r="I3" s="1248"/>
      <c r="J3" s="1248"/>
    </row>
    <row r="4" spans="1:10">
      <c r="A4" s="1248" t="str">
        <f>"Consolidation of Operating Companies' Capital Structure @ December 31, "&amp;TCOS!L4&amp;""</f>
        <v>Consolidation of Operating Companies' Capital Structure @ December 31, 2025</v>
      </c>
      <c r="B4" s="1248"/>
      <c r="C4" s="1248"/>
      <c r="D4" s="1248"/>
      <c r="E4" s="1248"/>
      <c r="F4" s="1248"/>
      <c r="G4" s="1248"/>
      <c r="H4" s="1248"/>
      <c r="I4" s="1248"/>
      <c r="J4" s="1248"/>
    </row>
    <row r="5" spans="1:10">
      <c r="A5" s="1248" t="s">
        <v>256</v>
      </c>
      <c r="B5" s="1248"/>
      <c r="C5" s="1248"/>
      <c r="D5" s="1248"/>
      <c r="E5" s="1248"/>
      <c r="F5" s="1248"/>
      <c r="G5" s="1248"/>
      <c r="H5" s="1248"/>
      <c r="I5" s="1248"/>
      <c r="J5" s="1248"/>
    </row>
    <row r="7" spans="1:10" ht="76.5">
      <c r="A7" s="629" t="s">
        <v>467</v>
      </c>
      <c r="C7" s="630" t="s">
        <v>514</v>
      </c>
      <c r="D7" s="630"/>
      <c r="E7" s="630" t="s">
        <v>515</v>
      </c>
      <c r="F7" s="630" t="s">
        <v>516</v>
      </c>
      <c r="G7" s="630" t="s">
        <v>517</v>
      </c>
      <c r="H7" s="630" t="s">
        <v>518</v>
      </c>
      <c r="I7" s="630" t="s">
        <v>519</v>
      </c>
      <c r="J7" s="630" t="s">
        <v>520</v>
      </c>
    </row>
    <row r="8" spans="1:10" ht="15">
      <c r="A8" s="603" t="s">
        <v>521</v>
      </c>
    </row>
    <row r="9" spans="1:10">
      <c r="A9" s="629">
        <v>1</v>
      </c>
      <c r="B9" s="75" t="s">
        <v>346</v>
      </c>
      <c r="C9" s="604"/>
      <c r="D9" s="604"/>
      <c r="E9" s="604"/>
      <c r="F9" s="604"/>
      <c r="G9" s="604"/>
      <c r="H9" s="604"/>
      <c r="I9" s="604"/>
      <c r="J9" s="591">
        <f>SUM(C9:I9)</f>
        <v>0</v>
      </c>
    </row>
    <row r="10" spans="1:10">
      <c r="A10" s="629">
        <f>A9+1</f>
        <v>2</v>
      </c>
      <c r="B10" s="75" t="s">
        <v>347</v>
      </c>
      <c r="C10" s="604"/>
      <c r="D10" s="604"/>
      <c r="E10" s="604"/>
      <c r="F10" s="604"/>
      <c r="G10" s="604"/>
      <c r="H10" s="604"/>
      <c r="I10" s="604"/>
      <c r="J10" s="591">
        <f>SUM(C10:I10)</f>
        <v>0</v>
      </c>
    </row>
    <row r="11" spans="1:10">
      <c r="A11" s="629">
        <f>A10+1</f>
        <v>3</v>
      </c>
      <c r="B11" s="14" t="s">
        <v>23</v>
      </c>
      <c r="C11" s="604"/>
      <c r="D11" s="604"/>
      <c r="E11" s="604"/>
      <c r="F11" s="604"/>
      <c r="G11" s="604"/>
      <c r="H11" s="604"/>
      <c r="I11" s="604"/>
      <c r="J11" s="591">
        <f>SUM(C11:I11)</f>
        <v>0</v>
      </c>
    </row>
    <row r="12" spans="1:10">
      <c r="A12" s="629">
        <f>A11+1</f>
        <v>4</v>
      </c>
      <c r="B12" s="14" t="s">
        <v>17</v>
      </c>
      <c r="C12" s="604"/>
      <c r="D12" s="604"/>
      <c r="E12" s="604"/>
      <c r="F12" s="604"/>
      <c r="G12" s="604"/>
      <c r="H12" s="604"/>
      <c r="I12" s="604"/>
      <c r="J12" s="591">
        <f>SUM(C12:I12)</f>
        <v>0</v>
      </c>
    </row>
    <row r="13" spans="1:10">
      <c r="A13" s="629">
        <f>A12+1</f>
        <v>5</v>
      </c>
      <c r="B13" s="14" t="str">
        <f>"Less: Fair Value Hedges (See Note on Ln "&amp;A16&amp;" below)"</f>
        <v>Less: Fair Value Hedges (See Note on Ln 7 below)</v>
      </c>
      <c r="C13" s="119"/>
      <c r="D13" s="119"/>
      <c r="E13" s="119"/>
      <c r="F13" s="119"/>
      <c r="G13" s="119"/>
      <c r="H13" s="119"/>
      <c r="I13" s="119"/>
      <c r="J13" s="631">
        <f>SUM(C13:I13)</f>
        <v>0</v>
      </c>
    </row>
    <row r="14" spans="1:10">
      <c r="A14" s="629">
        <f>A13+1</f>
        <v>6</v>
      </c>
      <c r="B14" s="13" t="s">
        <v>67</v>
      </c>
      <c r="C14" s="632">
        <f t="shared" ref="C14:J14" si="0">C9-C10+C11+C12-C13</f>
        <v>0</v>
      </c>
      <c r="D14" s="632"/>
      <c r="E14" s="632">
        <f t="shared" si="0"/>
        <v>0</v>
      </c>
      <c r="F14" s="632">
        <f t="shared" si="0"/>
        <v>0</v>
      </c>
      <c r="G14" s="632">
        <f t="shared" si="0"/>
        <v>0</v>
      </c>
      <c r="H14" s="632">
        <f t="shared" si="0"/>
        <v>0</v>
      </c>
      <c r="I14" s="632">
        <f t="shared" si="0"/>
        <v>0</v>
      </c>
      <c r="J14" s="632">
        <f t="shared" si="0"/>
        <v>0</v>
      </c>
    </row>
    <row r="16" spans="1:10" ht="12.75" customHeight="1">
      <c r="A16" s="629">
        <f>A14+1</f>
        <v>7</v>
      </c>
      <c r="B16" s="1247" t="s">
        <v>553</v>
      </c>
      <c r="C16" s="1247"/>
      <c r="D16" s="1247"/>
      <c r="E16" s="1247"/>
      <c r="F16" s="1247"/>
      <c r="G16" s="1247"/>
      <c r="H16" s="1247"/>
      <c r="I16" s="1247"/>
      <c r="J16" s="1247"/>
    </row>
    <row r="17" spans="1:10" ht="12.75" customHeight="1">
      <c r="B17" s="633"/>
      <c r="C17" s="633"/>
      <c r="D17" s="633"/>
      <c r="E17" s="633"/>
      <c r="F17" s="633"/>
      <c r="G17" s="633"/>
      <c r="H17" s="633"/>
      <c r="I17" s="633"/>
      <c r="J17" s="633"/>
    </row>
    <row r="18" spans="1:10" ht="15">
      <c r="A18" s="603" t="s">
        <v>522</v>
      </c>
    </row>
    <row r="19" spans="1:10">
      <c r="A19" s="629">
        <f>A16+1</f>
        <v>8</v>
      </c>
      <c r="B19" s="75" t="s">
        <v>348</v>
      </c>
      <c r="C19" s="118"/>
      <c r="D19" s="118"/>
      <c r="E19" s="118"/>
      <c r="F19" s="118"/>
      <c r="G19" s="118"/>
      <c r="H19" s="118"/>
      <c r="I19" s="118"/>
      <c r="J19" s="345">
        <f t="shared" ref="J19:J24" si="1">SUM(C19:I19)</f>
        <v>0</v>
      </c>
    </row>
    <row r="20" spans="1:10">
      <c r="A20" s="629">
        <f t="shared" ref="A20:A25" si="2">A19+1</f>
        <v>9</v>
      </c>
      <c r="B20" s="75" t="s">
        <v>341</v>
      </c>
      <c r="C20" s="118"/>
      <c r="D20" s="118"/>
      <c r="E20" s="118"/>
      <c r="F20" s="118"/>
      <c r="G20" s="118"/>
      <c r="H20" s="118"/>
      <c r="I20" s="118"/>
      <c r="J20" s="345">
        <f t="shared" si="1"/>
        <v>0</v>
      </c>
    </row>
    <row r="21" spans="1:10">
      <c r="A21" s="629">
        <f t="shared" si="2"/>
        <v>10</v>
      </c>
      <c r="B21" s="75" t="s">
        <v>342</v>
      </c>
      <c r="C21" s="118"/>
      <c r="D21" s="118"/>
      <c r="E21" s="118"/>
      <c r="F21" s="118"/>
      <c r="G21" s="118"/>
      <c r="H21" s="118"/>
      <c r="I21" s="118"/>
      <c r="J21" s="345">
        <f t="shared" si="1"/>
        <v>0</v>
      </c>
    </row>
    <row r="22" spans="1:10">
      <c r="A22" s="629">
        <f t="shared" si="2"/>
        <v>11</v>
      </c>
      <c r="B22" s="75" t="s">
        <v>343</v>
      </c>
      <c r="C22" s="604"/>
      <c r="D22" s="604"/>
      <c r="E22" s="604"/>
      <c r="F22" s="604"/>
      <c r="G22" s="604"/>
      <c r="H22" s="604"/>
      <c r="I22" s="604"/>
      <c r="J22" s="591">
        <f t="shared" si="1"/>
        <v>0</v>
      </c>
    </row>
    <row r="23" spans="1:10">
      <c r="A23" s="629">
        <f t="shared" si="2"/>
        <v>12</v>
      </c>
      <c r="B23" s="75" t="s">
        <v>344</v>
      </c>
      <c r="C23" s="604"/>
      <c r="D23" s="604"/>
      <c r="E23" s="604"/>
      <c r="F23" s="604"/>
      <c r="G23" s="604"/>
      <c r="H23" s="604"/>
      <c r="I23" s="604"/>
      <c r="J23" s="591">
        <f t="shared" si="1"/>
        <v>0</v>
      </c>
    </row>
    <row r="24" spans="1:10">
      <c r="A24" s="629">
        <f t="shared" si="2"/>
        <v>13</v>
      </c>
      <c r="B24" s="634" t="s">
        <v>523</v>
      </c>
      <c r="C24" s="119"/>
      <c r="D24" s="119"/>
      <c r="E24" s="119"/>
      <c r="F24" s="119"/>
      <c r="G24" s="119"/>
      <c r="H24" s="119"/>
      <c r="I24" s="119"/>
      <c r="J24" s="631">
        <f t="shared" si="1"/>
        <v>0</v>
      </c>
    </row>
    <row r="25" spans="1:10">
      <c r="A25" s="629">
        <f t="shared" si="2"/>
        <v>14</v>
      </c>
      <c r="B25" s="635" t="s">
        <v>68</v>
      </c>
      <c r="C25" s="636">
        <f t="shared" ref="C25:J25" si="3">C19+C20+C21-C22-C23-C24</f>
        <v>0</v>
      </c>
      <c r="D25" s="636"/>
      <c r="E25" s="636">
        <f t="shared" si="3"/>
        <v>0</v>
      </c>
      <c r="F25" s="636">
        <f t="shared" si="3"/>
        <v>0</v>
      </c>
      <c r="G25" s="636">
        <f t="shared" si="3"/>
        <v>0</v>
      </c>
      <c r="H25" s="636">
        <f t="shared" si="3"/>
        <v>0</v>
      </c>
      <c r="I25" s="636">
        <f t="shared" si="3"/>
        <v>0</v>
      </c>
      <c r="J25" s="636">
        <f t="shared" si="3"/>
        <v>0</v>
      </c>
    </row>
    <row r="27" spans="1:10" ht="15">
      <c r="A27" s="603" t="s">
        <v>524</v>
      </c>
      <c r="B27" s="637"/>
      <c r="C27" s="637"/>
      <c r="D27" s="637"/>
      <c r="E27" s="637"/>
    </row>
    <row r="28" spans="1:10">
      <c r="A28" s="629">
        <f>A25+1</f>
        <v>15</v>
      </c>
      <c r="B28" s="76" t="s">
        <v>525</v>
      </c>
      <c r="C28" s="605"/>
      <c r="D28" s="653"/>
      <c r="E28" s="654"/>
      <c r="F28" s="653"/>
      <c r="G28" s="653"/>
      <c r="H28" s="605"/>
      <c r="I28" s="653"/>
      <c r="J28" s="638"/>
    </row>
    <row r="29" spans="1:10">
      <c r="A29" s="629">
        <f>A28+1</f>
        <v>16</v>
      </c>
      <c r="B29" s="76" t="s">
        <v>526</v>
      </c>
      <c r="C29" s="606"/>
      <c r="D29" s="655"/>
      <c r="E29" s="606"/>
      <c r="F29" s="655"/>
      <c r="G29" s="655"/>
      <c r="H29" s="606"/>
      <c r="I29" s="655"/>
      <c r="J29" s="639"/>
    </row>
    <row r="30" spans="1:10">
      <c r="A30" s="629">
        <f>A29+1</f>
        <v>17</v>
      </c>
      <c r="B30" s="76" t="s">
        <v>527</v>
      </c>
      <c r="C30" s="118"/>
      <c r="D30" s="656"/>
      <c r="E30" s="118"/>
      <c r="F30" s="656"/>
      <c r="G30" s="656"/>
      <c r="H30" s="118"/>
      <c r="I30" s="656"/>
    </row>
    <row r="31" spans="1:10">
      <c r="A31" s="629">
        <f>A30+1</f>
        <v>18</v>
      </c>
      <c r="B31" s="76" t="str">
        <f>"Monetary Value (Ln "&amp;A29&amp;" * Ln "&amp;A30&amp;")"</f>
        <v>Monetary Value (Ln 16 * Ln 17)</v>
      </c>
      <c r="C31" s="344">
        <f t="shared" ref="C31:I31" si="4">C29*C30</f>
        <v>0</v>
      </c>
      <c r="D31" s="344"/>
      <c r="E31" s="344">
        <f t="shared" si="4"/>
        <v>0</v>
      </c>
      <c r="F31" s="344">
        <f t="shared" si="4"/>
        <v>0</v>
      </c>
      <c r="G31" s="344">
        <f t="shared" si="4"/>
        <v>0</v>
      </c>
      <c r="H31" s="344">
        <f t="shared" si="4"/>
        <v>0</v>
      </c>
      <c r="I31" s="344">
        <f t="shared" si="4"/>
        <v>0</v>
      </c>
      <c r="J31" s="636">
        <f>SUM(C31:I31)</f>
        <v>0</v>
      </c>
    </row>
    <row r="32" spans="1:10">
      <c r="A32" s="629">
        <f>A31+1</f>
        <v>19</v>
      </c>
      <c r="B32" s="76" t="str">
        <f>"Dividend Amount (Ln "&amp;A28&amp;" * Ln "&amp;A31&amp;")"</f>
        <v>Dividend Amount (Ln 15 * Ln 18)</v>
      </c>
      <c r="C32" s="344">
        <f t="shared" ref="C32:I32" si="5">C31*C28</f>
        <v>0</v>
      </c>
      <c r="D32" s="344"/>
      <c r="E32" s="344">
        <f t="shared" si="5"/>
        <v>0</v>
      </c>
      <c r="F32" s="344">
        <f t="shared" si="5"/>
        <v>0</v>
      </c>
      <c r="G32" s="344">
        <f t="shared" si="5"/>
        <v>0</v>
      </c>
      <c r="H32" s="344">
        <f t="shared" si="5"/>
        <v>0</v>
      </c>
      <c r="I32" s="344">
        <f t="shared" si="5"/>
        <v>0</v>
      </c>
      <c r="J32" s="636">
        <f>SUM(C32:I32)</f>
        <v>0</v>
      </c>
    </row>
    <row r="34" spans="1:10">
      <c r="A34" s="629">
        <f>A32+1</f>
        <v>20</v>
      </c>
      <c r="B34" s="76" t="s">
        <v>525</v>
      </c>
      <c r="C34" s="605"/>
      <c r="D34" s="653"/>
      <c r="E34" s="654"/>
      <c r="F34" s="653"/>
      <c r="G34" s="653"/>
      <c r="H34" s="605"/>
      <c r="I34" s="653"/>
    </row>
    <row r="35" spans="1:10">
      <c r="A35" s="629">
        <f>A34+1</f>
        <v>21</v>
      </c>
      <c r="B35" s="76" t="s">
        <v>526</v>
      </c>
      <c r="C35" s="606"/>
      <c r="D35" s="655"/>
      <c r="E35" s="606"/>
      <c r="F35" s="655"/>
      <c r="G35" s="655"/>
      <c r="H35" s="606"/>
      <c r="I35" s="655"/>
    </row>
    <row r="36" spans="1:10">
      <c r="A36" s="629">
        <f>A35+1</f>
        <v>22</v>
      </c>
      <c r="B36" s="76" t="s">
        <v>527</v>
      </c>
      <c r="C36" s="118"/>
      <c r="D36" s="656"/>
      <c r="E36" s="118"/>
      <c r="F36" s="656"/>
      <c r="G36" s="656"/>
      <c r="H36" s="118"/>
      <c r="I36" s="656"/>
    </row>
    <row r="37" spans="1:10">
      <c r="A37" s="629">
        <f>A36+1</f>
        <v>23</v>
      </c>
      <c r="B37" s="76" t="str">
        <f>"Monetary Value (Ln "&amp;A35&amp;" * Ln "&amp;A36&amp;")"</f>
        <v>Monetary Value (Ln 21 * Ln 22)</v>
      </c>
      <c r="C37" s="344">
        <f t="shared" ref="C37:I37" si="6">C35*C36</f>
        <v>0</v>
      </c>
      <c r="D37" s="344"/>
      <c r="E37" s="344">
        <f t="shared" si="6"/>
        <v>0</v>
      </c>
      <c r="F37" s="344">
        <f t="shared" si="6"/>
        <v>0</v>
      </c>
      <c r="G37" s="344">
        <f t="shared" si="6"/>
        <v>0</v>
      </c>
      <c r="H37" s="344">
        <f t="shared" si="6"/>
        <v>0</v>
      </c>
      <c r="I37" s="344">
        <f t="shared" si="6"/>
        <v>0</v>
      </c>
      <c r="J37" s="636">
        <f>SUM(C37:I37)</f>
        <v>0</v>
      </c>
    </row>
    <row r="38" spans="1:10">
      <c r="A38" s="629">
        <f>A37+1</f>
        <v>24</v>
      </c>
      <c r="B38" s="76" t="str">
        <f>"Dividend Amount (Ln "&amp;A34&amp;" * Ln "&amp;A37&amp;")"</f>
        <v>Dividend Amount (Ln 20 * Ln 23)</v>
      </c>
      <c r="C38" s="344">
        <f t="shared" ref="C38:I38" si="7">C37*C34</f>
        <v>0</v>
      </c>
      <c r="D38" s="344"/>
      <c r="E38" s="344">
        <f t="shared" si="7"/>
        <v>0</v>
      </c>
      <c r="F38" s="344">
        <f t="shared" si="7"/>
        <v>0</v>
      </c>
      <c r="G38" s="344">
        <f t="shared" si="7"/>
        <v>0</v>
      </c>
      <c r="H38" s="344">
        <f t="shared" si="7"/>
        <v>0</v>
      </c>
      <c r="I38" s="344">
        <f t="shared" si="7"/>
        <v>0</v>
      </c>
      <c r="J38" s="636">
        <f>SUM(C38:I38)</f>
        <v>0</v>
      </c>
    </row>
    <row r="40" spans="1:10">
      <c r="A40" s="629">
        <f>A38+1</f>
        <v>25</v>
      </c>
      <c r="B40" s="76" t="s">
        <v>525</v>
      </c>
      <c r="C40" s="605"/>
      <c r="D40" s="653"/>
      <c r="E40" s="654"/>
      <c r="F40" s="653"/>
      <c r="G40" s="653"/>
      <c r="H40" s="605"/>
      <c r="I40" s="653"/>
    </row>
    <row r="41" spans="1:10">
      <c r="A41" s="629">
        <f>A40+1</f>
        <v>26</v>
      </c>
      <c r="B41" s="76" t="s">
        <v>526</v>
      </c>
      <c r="C41" s="606"/>
      <c r="D41" s="655"/>
      <c r="E41" s="606"/>
      <c r="F41" s="655"/>
      <c r="G41" s="655"/>
      <c r="H41" s="606"/>
      <c r="I41" s="655"/>
    </row>
    <row r="42" spans="1:10">
      <c r="A42" s="629">
        <f>A41+1</f>
        <v>27</v>
      </c>
      <c r="B42" s="76" t="s">
        <v>527</v>
      </c>
      <c r="C42" s="118"/>
      <c r="D42" s="656"/>
      <c r="E42" s="118"/>
      <c r="F42" s="656"/>
      <c r="G42" s="656"/>
      <c r="H42" s="118"/>
      <c r="I42" s="656"/>
    </row>
    <row r="43" spans="1:10">
      <c r="A43" s="629">
        <f>A42+1</f>
        <v>28</v>
      </c>
      <c r="B43" s="76" t="str">
        <f>"Monetary Value (Ln "&amp;A41&amp;" * Ln "&amp;A42&amp;")"</f>
        <v>Monetary Value (Ln 26 * Ln 27)</v>
      </c>
      <c r="C43" s="344">
        <f t="shared" ref="C43:I43" si="8">C41*C42</f>
        <v>0</v>
      </c>
      <c r="D43" s="344"/>
      <c r="E43" s="344">
        <f t="shared" si="8"/>
        <v>0</v>
      </c>
      <c r="F43" s="344">
        <f t="shared" si="8"/>
        <v>0</v>
      </c>
      <c r="G43" s="344">
        <f t="shared" si="8"/>
        <v>0</v>
      </c>
      <c r="H43" s="344">
        <f t="shared" si="8"/>
        <v>0</v>
      </c>
      <c r="I43" s="344">
        <f t="shared" si="8"/>
        <v>0</v>
      </c>
      <c r="J43" s="636">
        <f>SUM(C43:I43)</f>
        <v>0</v>
      </c>
    </row>
    <row r="44" spans="1:10">
      <c r="A44" s="629">
        <f>A43+1</f>
        <v>29</v>
      </c>
      <c r="B44" s="76" t="str">
        <f>"Dividend Amount (Ln "&amp;A40&amp;" * Ln "&amp;A43&amp;")"</f>
        <v>Dividend Amount (Ln 25 * Ln 28)</v>
      </c>
      <c r="C44" s="344">
        <f t="shared" ref="C44:I44" si="9">C43*C40</f>
        <v>0</v>
      </c>
      <c r="D44" s="344"/>
      <c r="E44" s="344">
        <f t="shared" si="9"/>
        <v>0</v>
      </c>
      <c r="F44" s="344">
        <f t="shared" si="9"/>
        <v>0</v>
      </c>
      <c r="G44" s="344">
        <f t="shared" si="9"/>
        <v>0</v>
      </c>
      <c r="H44" s="344">
        <f t="shared" si="9"/>
        <v>0</v>
      </c>
      <c r="I44" s="344">
        <f t="shared" si="9"/>
        <v>0</v>
      </c>
      <c r="J44" s="636">
        <f>SUM(C44:I44)</f>
        <v>0</v>
      </c>
    </row>
    <row r="46" spans="1:10">
      <c r="A46" s="629">
        <f>A44+1</f>
        <v>30</v>
      </c>
      <c r="B46" s="76" t="s">
        <v>525</v>
      </c>
      <c r="C46" s="605"/>
      <c r="D46" s="653"/>
      <c r="E46" s="654"/>
      <c r="F46" s="653"/>
      <c r="G46" s="653"/>
      <c r="H46" s="605"/>
      <c r="I46" s="653"/>
    </row>
    <row r="47" spans="1:10">
      <c r="A47" s="629">
        <f>A46+1</f>
        <v>31</v>
      </c>
      <c r="B47" s="76" t="s">
        <v>526</v>
      </c>
      <c r="C47" s="606"/>
      <c r="D47" s="655"/>
      <c r="E47" s="606"/>
      <c r="F47" s="655"/>
      <c r="G47" s="655"/>
      <c r="H47" s="606"/>
      <c r="I47" s="655"/>
    </row>
    <row r="48" spans="1:10">
      <c r="A48" s="629">
        <f>A47+1</f>
        <v>32</v>
      </c>
      <c r="B48" s="76" t="s">
        <v>527</v>
      </c>
      <c r="C48" s="118"/>
      <c r="D48" s="656"/>
      <c r="E48" s="118"/>
      <c r="F48" s="656"/>
      <c r="G48" s="656"/>
      <c r="H48" s="118"/>
      <c r="I48" s="656"/>
    </row>
    <row r="49" spans="1:10">
      <c r="A49" s="629">
        <f>A48+1</f>
        <v>33</v>
      </c>
      <c r="B49" s="76" t="str">
        <f>"Monetary Value (Ln "&amp;A47&amp;" * Ln "&amp;A48&amp;")"</f>
        <v>Monetary Value (Ln 31 * Ln 32)</v>
      </c>
      <c r="C49" s="344">
        <f t="shared" ref="C49:I49" si="10">C47*C48</f>
        <v>0</v>
      </c>
      <c r="D49" s="344"/>
      <c r="E49" s="344">
        <f t="shared" si="10"/>
        <v>0</v>
      </c>
      <c r="F49" s="344">
        <f t="shared" si="10"/>
        <v>0</v>
      </c>
      <c r="G49" s="344">
        <f t="shared" si="10"/>
        <v>0</v>
      </c>
      <c r="H49" s="344">
        <f t="shared" si="10"/>
        <v>0</v>
      </c>
      <c r="I49" s="344">
        <f t="shared" si="10"/>
        <v>0</v>
      </c>
      <c r="J49" s="636">
        <f>SUM(C49:I49)</f>
        <v>0</v>
      </c>
    </row>
    <row r="50" spans="1:10">
      <c r="A50" s="629">
        <f>A49+1</f>
        <v>34</v>
      </c>
      <c r="B50" s="76" t="str">
        <f>"Dividend Amount (Ln "&amp;A46&amp;" * Ln "&amp;A49&amp;")"</f>
        <v>Dividend Amount (Ln 30 * Ln 33)</v>
      </c>
      <c r="C50" s="344">
        <f t="shared" ref="C50:I50" si="11">C49*C46</f>
        <v>0</v>
      </c>
      <c r="D50" s="344"/>
      <c r="E50" s="344">
        <f t="shared" si="11"/>
        <v>0</v>
      </c>
      <c r="F50" s="344">
        <f t="shared" si="11"/>
        <v>0</v>
      </c>
      <c r="G50" s="344">
        <f t="shared" si="11"/>
        <v>0</v>
      </c>
      <c r="H50" s="344">
        <f t="shared" si="11"/>
        <v>0</v>
      </c>
      <c r="I50" s="344">
        <f t="shared" si="11"/>
        <v>0</v>
      </c>
      <c r="J50" s="636">
        <f>SUM(C50:I50)</f>
        <v>0</v>
      </c>
    </row>
    <row r="51" spans="1:10">
      <c r="B51" s="76"/>
    </row>
    <row r="52" spans="1:10">
      <c r="A52" s="629">
        <f>A50+1</f>
        <v>35</v>
      </c>
      <c r="B52" s="346" t="str">
        <f>"Preferred Stock (Lns "&amp;A31&amp;", "&amp;A37&amp;", "&amp;A43&amp;","&amp;A49&amp;")"</f>
        <v>Preferred Stock (Lns 18, 23, 28,33)</v>
      </c>
      <c r="C52" s="636">
        <f t="shared" ref="C52:I53" si="12">C31+C37+C43+C49</f>
        <v>0</v>
      </c>
      <c r="D52" s="636"/>
      <c r="E52" s="636">
        <f t="shared" si="12"/>
        <v>0</v>
      </c>
      <c r="F52" s="636">
        <f t="shared" si="12"/>
        <v>0</v>
      </c>
      <c r="G52" s="636">
        <f t="shared" si="12"/>
        <v>0</v>
      </c>
      <c r="H52" s="636">
        <f t="shared" si="12"/>
        <v>0</v>
      </c>
      <c r="I52" s="636">
        <f t="shared" si="12"/>
        <v>0</v>
      </c>
      <c r="J52" s="636">
        <f>SUM(C52:I52)</f>
        <v>0</v>
      </c>
    </row>
    <row r="53" spans="1:10">
      <c r="A53" s="629">
        <f>A52+1</f>
        <v>36</v>
      </c>
      <c r="B53" s="346" t="str">
        <f>"Preferred Dividends (Lns "&amp;A32&amp;", "&amp;A38&amp;", "&amp;A44&amp;","&amp;A50&amp;")"</f>
        <v>Preferred Dividends (Lns 19, 24, 29,34)</v>
      </c>
      <c r="C53" s="636">
        <f t="shared" si="12"/>
        <v>0</v>
      </c>
      <c r="D53" s="636"/>
      <c r="E53" s="636">
        <f t="shared" si="12"/>
        <v>0</v>
      </c>
      <c r="F53" s="636">
        <f t="shared" si="12"/>
        <v>0</v>
      </c>
      <c r="G53" s="636">
        <f t="shared" si="12"/>
        <v>0</v>
      </c>
      <c r="H53" s="636">
        <f t="shared" si="12"/>
        <v>0</v>
      </c>
      <c r="I53" s="636">
        <f t="shared" si="12"/>
        <v>0</v>
      </c>
      <c r="J53" s="636">
        <f>SUM(C53:I53)</f>
        <v>0</v>
      </c>
    </row>
    <row r="54" spans="1:10">
      <c r="B54" s="640"/>
    </row>
    <row r="55" spans="1:10" ht="15">
      <c r="A55" s="603" t="s">
        <v>528</v>
      </c>
    </row>
    <row r="56" spans="1:10">
      <c r="A56" s="629">
        <f>A53+1</f>
        <v>37</v>
      </c>
      <c r="B56" s="453" t="s">
        <v>529</v>
      </c>
      <c r="C56" s="118"/>
      <c r="D56" s="118"/>
      <c r="E56" s="118"/>
      <c r="F56" s="118"/>
      <c r="G56" s="118"/>
      <c r="H56" s="118"/>
      <c r="I56" s="118"/>
      <c r="J56" s="636">
        <f>SUM(C56:I56)</f>
        <v>0</v>
      </c>
    </row>
    <row r="57" spans="1:10">
      <c r="A57" s="629">
        <f>A56+1</f>
        <v>38</v>
      </c>
      <c r="B57" s="453" t="str">
        <f>"Less: Preferred Stock (Ln "&amp;A52&amp;" Above)"</f>
        <v>Less: Preferred Stock (Ln 35 Above)</v>
      </c>
      <c r="C57" s="345">
        <f t="shared" ref="C57:I57" si="13">C52</f>
        <v>0</v>
      </c>
      <c r="D57" s="345"/>
      <c r="E57" s="345">
        <f t="shared" si="13"/>
        <v>0</v>
      </c>
      <c r="F57" s="345">
        <f t="shared" si="13"/>
        <v>0</v>
      </c>
      <c r="G57" s="345">
        <f t="shared" si="13"/>
        <v>0</v>
      </c>
      <c r="H57" s="345">
        <f t="shared" si="13"/>
        <v>0</v>
      </c>
      <c r="I57" s="345">
        <f t="shared" si="13"/>
        <v>0</v>
      </c>
      <c r="J57" s="636">
        <f>SUM(C57:I57)</f>
        <v>0</v>
      </c>
    </row>
    <row r="58" spans="1:10">
      <c r="A58" s="629">
        <f>A57+1</f>
        <v>39</v>
      </c>
      <c r="B58" s="453" t="s">
        <v>530</v>
      </c>
      <c r="C58" s="604"/>
      <c r="D58" s="604"/>
      <c r="E58" s="604"/>
      <c r="F58" s="604"/>
      <c r="G58" s="604"/>
      <c r="H58" s="604"/>
      <c r="I58" s="604"/>
      <c r="J58" s="636">
        <f>SUM(C58:I58)</f>
        <v>0</v>
      </c>
    </row>
    <row r="59" spans="1:10">
      <c r="A59" s="629">
        <f>A58+1</f>
        <v>40</v>
      </c>
      <c r="B59" s="453" t="s">
        <v>531</v>
      </c>
      <c r="C59" s="119"/>
      <c r="D59" s="119"/>
      <c r="E59" s="119"/>
      <c r="F59" s="119"/>
      <c r="G59" s="119"/>
      <c r="H59" s="119"/>
      <c r="I59" s="119"/>
      <c r="J59" s="641">
        <f>SUM(C59:I59)</f>
        <v>0</v>
      </c>
    </row>
    <row r="60" spans="1:10">
      <c r="A60" s="629">
        <f>A59+1</f>
        <v>41</v>
      </c>
      <c r="B60" s="457" t="s">
        <v>532</v>
      </c>
      <c r="C60" s="591">
        <f t="shared" ref="C60:J60" si="14">C56-C57-C58-C59</f>
        <v>0</v>
      </c>
      <c r="D60" s="591"/>
      <c r="E60" s="591">
        <f t="shared" si="14"/>
        <v>0</v>
      </c>
      <c r="F60" s="591">
        <f t="shared" si="14"/>
        <v>0</v>
      </c>
      <c r="G60" s="591">
        <f t="shared" si="14"/>
        <v>0</v>
      </c>
      <c r="H60" s="591">
        <f t="shared" si="14"/>
        <v>0</v>
      </c>
      <c r="I60" s="591">
        <f t="shared" si="14"/>
        <v>0</v>
      </c>
      <c r="J60" s="591">
        <f t="shared" si="14"/>
        <v>0</v>
      </c>
    </row>
    <row r="62" spans="1:10" ht="15">
      <c r="A62" s="603" t="s">
        <v>533</v>
      </c>
    </row>
    <row r="63" spans="1:10">
      <c r="A63" s="629">
        <f>A60+1</f>
        <v>42</v>
      </c>
      <c r="B63" s="7" t="str">
        <f>"Long Term Debt (Ln "&amp;A14&amp;" Above)"</f>
        <v>Long Term Debt (Ln 6 Above)</v>
      </c>
      <c r="C63" s="636">
        <f t="shared" ref="C63:J63" si="15">C14</f>
        <v>0</v>
      </c>
      <c r="D63" s="636"/>
      <c r="E63" s="636">
        <f t="shared" si="15"/>
        <v>0</v>
      </c>
      <c r="F63" s="636">
        <f t="shared" si="15"/>
        <v>0</v>
      </c>
      <c r="G63" s="636">
        <f t="shared" si="15"/>
        <v>0</v>
      </c>
      <c r="H63" s="636">
        <f t="shared" si="15"/>
        <v>0</v>
      </c>
      <c r="I63" s="636">
        <f t="shared" si="15"/>
        <v>0</v>
      </c>
      <c r="J63" s="636">
        <f t="shared" si="15"/>
        <v>0</v>
      </c>
    </row>
    <row r="64" spans="1:10">
      <c r="A64" s="629">
        <f>A63+1</f>
        <v>43</v>
      </c>
      <c r="B64" s="7" t="str">
        <f>"Preferred Stock (Ln "&amp;A52&amp;" Above)"</f>
        <v>Preferred Stock (Ln 35 Above)</v>
      </c>
      <c r="C64" s="636">
        <f t="shared" ref="C64:J64" si="16">C52</f>
        <v>0</v>
      </c>
      <c r="D64" s="636"/>
      <c r="E64" s="636">
        <f t="shared" si="16"/>
        <v>0</v>
      </c>
      <c r="F64" s="636">
        <f t="shared" si="16"/>
        <v>0</v>
      </c>
      <c r="G64" s="636">
        <f t="shared" si="16"/>
        <v>0</v>
      </c>
      <c r="H64" s="636">
        <f t="shared" si="16"/>
        <v>0</v>
      </c>
      <c r="I64" s="636">
        <f t="shared" si="16"/>
        <v>0</v>
      </c>
      <c r="J64" s="636">
        <f t="shared" si="16"/>
        <v>0</v>
      </c>
    </row>
    <row r="65" spans="1:10">
      <c r="A65" s="629">
        <f>A64+1</f>
        <v>44</v>
      </c>
      <c r="B65" s="7" t="str">
        <f>"Common Equity (Ln "&amp;A60&amp;" Above)"</f>
        <v>Common Equity (Ln 41 Above)</v>
      </c>
      <c r="C65" s="641">
        <f t="shared" ref="C65:J65" si="17">C60</f>
        <v>0</v>
      </c>
      <c r="D65" s="641"/>
      <c r="E65" s="641">
        <f t="shared" si="17"/>
        <v>0</v>
      </c>
      <c r="F65" s="641">
        <f t="shared" si="17"/>
        <v>0</v>
      </c>
      <c r="G65" s="641">
        <f t="shared" si="17"/>
        <v>0</v>
      </c>
      <c r="H65" s="641">
        <f t="shared" si="17"/>
        <v>0</v>
      </c>
      <c r="I65" s="641">
        <f t="shared" si="17"/>
        <v>0</v>
      </c>
      <c r="J65" s="641">
        <f t="shared" si="17"/>
        <v>0</v>
      </c>
    </row>
    <row r="66" spans="1:10">
      <c r="A66" s="629">
        <f>A65+1</f>
        <v>45</v>
      </c>
      <c r="B66" s="629" t="s">
        <v>534</v>
      </c>
      <c r="C66" s="636">
        <f t="shared" ref="C66:J66" si="18">SUM(C63:C65)</f>
        <v>0</v>
      </c>
      <c r="D66" s="636"/>
      <c r="E66" s="636">
        <f t="shared" si="18"/>
        <v>0</v>
      </c>
      <c r="F66" s="636">
        <f t="shared" si="18"/>
        <v>0</v>
      </c>
      <c r="G66" s="636">
        <f t="shared" si="18"/>
        <v>0</v>
      </c>
      <c r="H66" s="636">
        <f t="shared" si="18"/>
        <v>0</v>
      </c>
      <c r="I66" s="636">
        <f t="shared" si="18"/>
        <v>0</v>
      </c>
      <c r="J66" s="636">
        <f t="shared" si="18"/>
        <v>0</v>
      </c>
    </row>
    <row r="68" spans="1:10">
      <c r="A68" s="629">
        <f>A66+1</f>
        <v>46</v>
      </c>
      <c r="B68" s="7" t="str">
        <f>"LTD Capital Shares (Ln "&amp;A63&amp;" / Ln "&amp;A66&amp;")"</f>
        <v>LTD Capital Shares (Ln 42 / Ln 45)</v>
      </c>
      <c r="C68" s="642" t="e">
        <f t="shared" ref="C68:J68" si="19">C63/C66</f>
        <v>#DIV/0!</v>
      </c>
      <c r="D68" s="642"/>
      <c r="E68" s="642" t="e">
        <f t="shared" si="19"/>
        <v>#DIV/0!</v>
      </c>
      <c r="F68" s="642" t="e">
        <f t="shared" si="19"/>
        <v>#DIV/0!</v>
      </c>
      <c r="G68" s="642" t="e">
        <f t="shared" si="19"/>
        <v>#DIV/0!</v>
      </c>
      <c r="H68" s="642" t="e">
        <f t="shared" si="19"/>
        <v>#DIV/0!</v>
      </c>
      <c r="I68" s="642" t="e">
        <f t="shared" si="19"/>
        <v>#DIV/0!</v>
      </c>
      <c r="J68" s="642" t="e">
        <f t="shared" si="19"/>
        <v>#DIV/0!</v>
      </c>
    </row>
    <row r="69" spans="1:10">
      <c r="A69" s="629">
        <f>A68+1</f>
        <v>47</v>
      </c>
      <c r="B69" s="7" t="str">
        <f>"Preferred Stock Capital Shares (Ln "&amp;A64&amp;" / Ln "&amp;A66&amp;")"</f>
        <v>Preferred Stock Capital Shares (Ln 43 / Ln 45)</v>
      </c>
      <c r="C69" s="642" t="e">
        <f t="shared" ref="C69:J69" si="20">C64/C66</f>
        <v>#DIV/0!</v>
      </c>
      <c r="D69" s="642"/>
      <c r="E69" s="642" t="e">
        <f t="shared" si="20"/>
        <v>#DIV/0!</v>
      </c>
      <c r="F69" s="642" t="e">
        <f t="shared" si="20"/>
        <v>#DIV/0!</v>
      </c>
      <c r="G69" s="642" t="e">
        <f t="shared" si="20"/>
        <v>#DIV/0!</v>
      </c>
      <c r="H69" s="642" t="e">
        <f t="shared" si="20"/>
        <v>#DIV/0!</v>
      </c>
      <c r="I69" s="642" t="e">
        <f t="shared" si="20"/>
        <v>#DIV/0!</v>
      </c>
      <c r="J69" s="642" t="e">
        <f t="shared" si="20"/>
        <v>#DIV/0!</v>
      </c>
    </row>
    <row r="70" spans="1:10">
      <c r="A70" s="629">
        <f>A69+1</f>
        <v>48</v>
      </c>
      <c r="B70" s="7" t="str">
        <f>"Common Equity Capital Shares (Ln "&amp;A65&amp;" / Ln "&amp;A66&amp;")"</f>
        <v>Common Equity Capital Shares (Ln 44 / Ln 45)</v>
      </c>
      <c r="C70" s="643" t="e">
        <f t="shared" ref="C70:J70" si="21">C65/C66</f>
        <v>#DIV/0!</v>
      </c>
      <c r="D70" s="643"/>
      <c r="E70" s="643" t="e">
        <f t="shared" si="21"/>
        <v>#DIV/0!</v>
      </c>
      <c r="F70" s="643" t="e">
        <f t="shared" si="21"/>
        <v>#DIV/0!</v>
      </c>
      <c r="G70" s="643" t="e">
        <f t="shared" si="21"/>
        <v>#DIV/0!</v>
      </c>
      <c r="H70" s="643" t="e">
        <f t="shared" si="21"/>
        <v>#DIV/0!</v>
      </c>
      <c r="I70" s="643" t="e">
        <f t="shared" si="21"/>
        <v>#DIV/0!</v>
      </c>
      <c r="J70" s="643" t="e">
        <f t="shared" si="21"/>
        <v>#DIV/0!</v>
      </c>
    </row>
    <row r="71" spans="1:10">
      <c r="B71" s="7"/>
      <c r="C71" s="643"/>
      <c r="D71" s="643"/>
      <c r="E71" s="643"/>
      <c r="F71" s="643"/>
      <c r="G71" s="643"/>
      <c r="H71" s="643"/>
      <c r="I71" s="643"/>
      <c r="J71" s="643"/>
    </row>
    <row r="72" spans="1:10">
      <c r="A72" s="629">
        <f>A70+1</f>
        <v>49</v>
      </c>
      <c r="B72" s="346" t="s">
        <v>564</v>
      </c>
      <c r="C72" s="644"/>
      <c r="D72" s="644"/>
      <c r="E72" s="644"/>
      <c r="F72" s="644"/>
      <c r="G72" s="644"/>
      <c r="H72" s="644"/>
      <c r="I72" s="644"/>
      <c r="J72" s="644"/>
    </row>
    <row r="73" spans="1:10">
      <c r="B73" s="7"/>
      <c r="C73" s="643"/>
      <c r="D73" s="643"/>
      <c r="E73" s="643"/>
      <c r="F73" s="643"/>
      <c r="G73" s="643"/>
      <c r="H73" s="643"/>
      <c r="I73" s="643"/>
      <c r="J73" s="643"/>
    </row>
    <row r="74" spans="1:10">
      <c r="A74" s="629">
        <f>A72+1</f>
        <v>50</v>
      </c>
      <c r="B74" s="346" t="s">
        <v>564</v>
      </c>
      <c r="C74" s="643"/>
      <c r="D74" s="643"/>
      <c r="E74" s="643"/>
      <c r="F74" s="643"/>
      <c r="G74" s="643"/>
      <c r="H74" s="643"/>
      <c r="I74" s="643"/>
      <c r="J74" s="643"/>
    </row>
    <row r="75" spans="1:10">
      <c r="A75" s="629">
        <f>A74+1</f>
        <v>51</v>
      </c>
      <c r="B75" s="346" t="s">
        <v>564</v>
      </c>
      <c r="C75" s="643"/>
      <c r="D75" s="643"/>
      <c r="E75" s="643"/>
      <c r="F75" s="643"/>
      <c r="G75" s="643"/>
      <c r="H75" s="643"/>
      <c r="I75" s="643"/>
      <c r="J75" s="643"/>
    </row>
    <row r="76" spans="1:10">
      <c r="A76" s="629">
        <f>A75+1</f>
        <v>52</v>
      </c>
      <c r="B76" s="346" t="s">
        <v>564</v>
      </c>
      <c r="C76" s="643"/>
      <c r="D76" s="643"/>
      <c r="E76" s="643"/>
      <c r="F76" s="643"/>
      <c r="G76" s="643"/>
      <c r="H76" s="643"/>
      <c r="I76" s="643"/>
      <c r="J76" s="643"/>
    </row>
    <row r="77" spans="1:10">
      <c r="B77" s="7"/>
      <c r="C77" s="642"/>
      <c r="D77" s="642"/>
      <c r="E77" s="642"/>
      <c r="F77" s="642"/>
      <c r="G77" s="642"/>
      <c r="H77" s="642"/>
      <c r="I77" s="642"/>
      <c r="J77" s="642"/>
    </row>
    <row r="78" spans="1:10" ht="15">
      <c r="A78" s="603" t="s">
        <v>535</v>
      </c>
    </row>
    <row r="79" spans="1:10">
      <c r="A79" s="629">
        <f>A76+1</f>
        <v>53</v>
      </c>
      <c r="B79" s="7" t="str">
        <f>"LTD Capital Cost Rate (Ln "&amp;A25&amp;" / Ln "&amp;A14&amp;")"</f>
        <v>LTD Capital Cost Rate (Ln 14 / Ln 6)</v>
      </c>
      <c r="C79" s="642" t="e">
        <f t="shared" ref="C79:J79" si="22">C25/C14</f>
        <v>#DIV/0!</v>
      </c>
      <c r="D79" s="642"/>
      <c r="E79" s="642" t="e">
        <f t="shared" si="22"/>
        <v>#DIV/0!</v>
      </c>
      <c r="F79" s="642" t="e">
        <f t="shared" si="22"/>
        <v>#DIV/0!</v>
      </c>
      <c r="G79" s="642" t="e">
        <f t="shared" si="22"/>
        <v>#DIV/0!</v>
      </c>
      <c r="H79" s="642" t="e">
        <f t="shared" si="22"/>
        <v>#DIV/0!</v>
      </c>
      <c r="I79" s="642" t="e">
        <f t="shared" si="22"/>
        <v>#DIV/0!</v>
      </c>
      <c r="J79" s="642" t="e">
        <f t="shared" si="22"/>
        <v>#DIV/0!</v>
      </c>
    </row>
    <row r="80" spans="1:10">
      <c r="A80" s="629">
        <f>A79+1</f>
        <v>54</v>
      </c>
      <c r="B80" s="7" t="str">
        <f>"Preferred Stock Capital Cost Rate (Ln "&amp;A53&amp;" / Ln "&amp;A52&amp;")"</f>
        <v>Preferred Stock Capital Cost Rate (Ln 36 / Ln 35)</v>
      </c>
      <c r="C80" s="642">
        <f t="shared" ref="C80:J80" si="23">IF(C52=0,0,C53/C52)</f>
        <v>0</v>
      </c>
      <c r="D80" s="642"/>
      <c r="E80" s="642">
        <f t="shared" si="23"/>
        <v>0</v>
      </c>
      <c r="F80" s="642">
        <f t="shared" si="23"/>
        <v>0</v>
      </c>
      <c r="G80" s="642">
        <f t="shared" si="23"/>
        <v>0</v>
      </c>
      <c r="H80" s="642">
        <f t="shared" si="23"/>
        <v>0</v>
      </c>
      <c r="I80" s="642">
        <f t="shared" si="23"/>
        <v>0</v>
      </c>
      <c r="J80" s="642">
        <f t="shared" si="23"/>
        <v>0</v>
      </c>
    </row>
    <row r="81" spans="1:10">
      <c r="A81" s="629">
        <f>A80+1</f>
        <v>55</v>
      </c>
      <c r="B81" s="7" t="s">
        <v>536</v>
      </c>
      <c r="C81" s="642">
        <v>0.1149</v>
      </c>
      <c r="D81" s="642"/>
      <c r="E81" s="642">
        <v>0.1149</v>
      </c>
      <c r="F81" s="642">
        <v>0.1149</v>
      </c>
      <c r="G81" s="642">
        <v>0.1149</v>
      </c>
      <c r="H81" s="642">
        <v>0.1149</v>
      </c>
      <c r="I81" s="642">
        <v>0.1149</v>
      </c>
      <c r="J81" s="642">
        <v>0.1149</v>
      </c>
    </row>
    <row r="83" spans="1:10" ht="15">
      <c r="A83" s="603" t="s">
        <v>537</v>
      </c>
    </row>
    <row r="84" spans="1:10">
      <c r="A84" s="629">
        <f>A81+1</f>
        <v>56</v>
      </c>
      <c r="B84" s="7" t="str">
        <f>"LTD Weighted Capital Cost Rate (Ln "&amp;A68&amp;" * Ln "&amp;A79&amp;")"</f>
        <v>LTD Weighted Capital Cost Rate (Ln 46 * Ln 53)</v>
      </c>
      <c r="C84" s="642" t="e">
        <f>C68*C79</f>
        <v>#DIV/0!</v>
      </c>
      <c r="D84" s="642"/>
      <c r="E84" s="642" t="e">
        <f t="shared" ref="E84:J84" si="24">E68*E79</f>
        <v>#DIV/0!</v>
      </c>
      <c r="F84" s="642" t="e">
        <f t="shared" si="24"/>
        <v>#DIV/0!</v>
      </c>
      <c r="G84" s="642" t="e">
        <f t="shared" si="24"/>
        <v>#DIV/0!</v>
      </c>
      <c r="H84" s="642" t="e">
        <f t="shared" si="24"/>
        <v>#DIV/0!</v>
      </c>
      <c r="I84" s="642" t="e">
        <f t="shared" si="24"/>
        <v>#DIV/0!</v>
      </c>
      <c r="J84" s="642" t="e">
        <f t="shared" si="24"/>
        <v>#DIV/0!</v>
      </c>
    </row>
    <row r="85" spans="1:10">
      <c r="A85" s="629">
        <f>A84+1</f>
        <v>57</v>
      </c>
      <c r="B85" s="7" t="str">
        <f>"Preferred Stock Capital Cost Rate (Ln "&amp;A69&amp;" * Ln "&amp;A80&amp;")"</f>
        <v>Preferred Stock Capital Cost Rate (Ln 47 * Ln 54)</v>
      </c>
      <c r="C85" s="642" t="e">
        <f>C69*C80</f>
        <v>#DIV/0!</v>
      </c>
      <c r="D85" s="642"/>
      <c r="E85" s="642" t="e">
        <f t="shared" ref="E85:J85" si="25">E69*E80</f>
        <v>#DIV/0!</v>
      </c>
      <c r="F85" s="642" t="e">
        <f t="shared" si="25"/>
        <v>#DIV/0!</v>
      </c>
      <c r="G85" s="642" t="e">
        <f t="shared" si="25"/>
        <v>#DIV/0!</v>
      </c>
      <c r="H85" s="642" t="e">
        <f t="shared" si="25"/>
        <v>#DIV/0!</v>
      </c>
      <c r="I85" s="642" t="e">
        <f t="shared" si="25"/>
        <v>#DIV/0!</v>
      </c>
      <c r="J85" s="642" t="e">
        <f t="shared" si="25"/>
        <v>#DIV/0!</v>
      </c>
    </row>
    <row r="86" spans="1:10">
      <c r="A86" s="629">
        <f>A85+1</f>
        <v>58</v>
      </c>
      <c r="B86" s="7" t="str">
        <f>"Common Equity Capital Cost Rate (Ln "&amp;A70&amp;" * Ln "&amp;A81&amp;")"</f>
        <v>Common Equity Capital Cost Rate (Ln 48 * Ln 55)</v>
      </c>
      <c r="C86" s="645" t="e">
        <f>C70*C81</f>
        <v>#DIV/0!</v>
      </c>
      <c r="D86" s="645"/>
      <c r="E86" s="645" t="e">
        <f t="shared" ref="E86:J86" si="26">E70*E81</f>
        <v>#DIV/0!</v>
      </c>
      <c r="F86" s="645" t="e">
        <f t="shared" si="26"/>
        <v>#DIV/0!</v>
      </c>
      <c r="G86" s="645" t="e">
        <f t="shared" si="26"/>
        <v>#DIV/0!</v>
      </c>
      <c r="H86" s="645" t="e">
        <f t="shared" si="26"/>
        <v>#DIV/0!</v>
      </c>
      <c r="I86" s="645" t="e">
        <f t="shared" si="26"/>
        <v>#DIV/0!</v>
      </c>
      <c r="J86" s="645" t="e">
        <f t="shared" si="26"/>
        <v>#DIV/0!</v>
      </c>
    </row>
    <row r="87" spans="1:10">
      <c r="A87" s="629">
        <f>A86+1</f>
        <v>59</v>
      </c>
      <c r="B87" s="635" t="s">
        <v>534</v>
      </c>
      <c r="C87" s="646" t="e">
        <f t="shared" ref="C87:J87" si="27">SUM(C84:C86)</f>
        <v>#DIV/0!</v>
      </c>
      <c r="D87" s="646"/>
      <c r="E87" s="646" t="e">
        <f t="shared" si="27"/>
        <v>#DIV/0!</v>
      </c>
      <c r="F87" s="646" t="e">
        <f t="shared" si="27"/>
        <v>#DIV/0!</v>
      </c>
      <c r="G87" s="646" t="e">
        <f t="shared" si="27"/>
        <v>#DIV/0!</v>
      </c>
      <c r="H87" s="646" t="e">
        <f t="shared" si="27"/>
        <v>#DIV/0!</v>
      </c>
      <c r="I87" s="646" t="e">
        <f t="shared" si="27"/>
        <v>#DIV/0!</v>
      </c>
      <c r="J87" s="646" t="e">
        <f t="shared" si="27"/>
        <v>#DIV/0!</v>
      </c>
    </row>
    <row r="90" spans="1:10">
      <c r="A90" s="1248" t="s">
        <v>513</v>
      </c>
      <c r="B90" s="1248"/>
      <c r="C90" s="1248"/>
      <c r="D90" s="1248"/>
      <c r="E90" s="1248"/>
      <c r="F90" s="1248"/>
      <c r="G90" s="1248"/>
      <c r="H90" s="1248"/>
      <c r="I90" s="1248"/>
      <c r="J90" s="1248"/>
    </row>
    <row r="91" spans="1:10">
      <c r="A91" s="1248" t="str">
        <f>"Consolidation of Operating Companies' Capital Structure @ December 31, "&amp;TCOS!L4-1&amp;""</f>
        <v>Consolidation of Operating Companies' Capital Structure @ December 31, 2024</v>
      </c>
      <c r="B91" s="1248"/>
      <c r="C91" s="1248"/>
      <c r="D91" s="1248"/>
      <c r="E91" s="1248"/>
      <c r="F91" s="1248"/>
      <c r="G91" s="1248"/>
      <c r="H91" s="1248"/>
      <c r="I91" s="1248"/>
      <c r="J91" s="1248"/>
    </row>
    <row r="92" spans="1:10">
      <c r="A92" s="1248" t="s">
        <v>257</v>
      </c>
      <c r="B92" s="1248"/>
      <c r="C92" s="1248"/>
      <c r="D92" s="1248"/>
      <c r="E92" s="1248"/>
      <c r="F92" s="1248"/>
      <c r="G92" s="1248"/>
      <c r="H92" s="1248"/>
      <c r="I92" s="1248"/>
      <c r="J92" s="1248"/>
    </row>
    <row r="93" spans="1:10">
      <c r="B93" s="640"/>
    </row>
    <row r="94" spans="1:10" ht="76.5">
      <c r="A94" s="629" t="s">
        <v>467</v>
      </c>
      <c r="C94" s="630" t="s">
        <v>514</v>
      </c>
      <c r="D94" s="630"/>
      <c r="E94" s="630" t="s">
        <v>515</v>
      </c>
      <c r="F94" s="630" t="s">
        <v>516</v>
      </c>
      <c r="G94" s="630" t="s">
        <v>517</v>
      </c>
      <c r="H94" s="630" t="s">
        <v>518</v>
      </c>
      <c r="I94" s="630" t="s">
        <v>519</v>
      </c>
      <c r="J94" s="630" t="s">
        <v>520</v>
      </c>
    </row>
    <row r="95" spans="1:10" ht="15">
      <c r="A95" s="603" t="s">
        <v>521</v>
      </c>
    </row>
    <row r="96" spans="1:10">
      <c r="A96" s="629">
        <f>A87+1</f>
        <v>60</v>
      </c>
      <c r="B96" s="75" t="s">
        <v>346</v>
      </c>
      <c r="C96" s="604"/>
      <c r="D96" s="604"/>
      <c r="E96" s="604"/>
      <c r="F96" s="604"/>
      <c r="G96" s="604"/>
      <c r="H96" s="604"/>
      <c r="I96" s="604"/>
      <c r="J96" s="591">
        <f>SUM(C96:I96)</f>
        <v>0</v>
      </c>
    </row>
    <row r="97" spans="1:10">
      <c r="A97" s="629">
        <f>A96+1</f>
        <v>61</v>
      </c>
      <c r="B97" s="75" t="s">
        <v>347</v>
      </c>
      <c r="C97" s="604"/>
      <c r="D97" s="604"/>
      <c r="E97" s="604"/>
      <c r="F97" s="604"/>
      <c r="G97" s="604"/>
      <c r="H97" s="604"/>
      <c r="I97" s="604"/>
      <c r="J97" s="591">
        <f>SUM(C97:I97)</f>
        <v>0</v>
      </c>
    </row>
    <row r="98" spans="1:10">
      <c r="A98" s="629">
        <f>A97+1</f>
        <v>62</v>
      </c>
      <c r="B98" s="14" t="s">
        <v>23</v>
      </c>
      <c r="C98" s="604"/>
      <c r="D98" s="604"/>
      <c r="E98" s="604"/>
      <c r="F98" s="604"/>
      <c r="G98" s="604"/>
      <c r="H98" s="604"/>
      <c r="I98" s="604"/>
      <c r="J98" s="591">
        <f>SUM(C98:I98)</f>
        <v>0</v>
      </c>
    </row>
    <row r="99" spans="1:10">
      <c r="A99" s="629">
        <f>A98+1</f>
        <v>63</v>
      </c>
      <c r="B99" s="14" t="s">
        <v>17</v>
      </c>
      <c r="C99" s="604"/>
      <c r="D99" s="604"/>
      <c r="E99" s="604"/>
      <c r="F99" s="604"/>
      <c r="G99" s="604"/>
      <c r="H99" s="604"/>
      <c r="I99" s="604"/>
      <c r="J99" s="591">
        <f>SUM(C99:I99)</f>
        <v>0</v>
      </c>
    </row>
    <row r="100" spans="1:10">
      <c r="A100" s="629">
        <f>A99+1</f>
        <v>64</v>
      </c>
      <c r="B100" s="14" t="str">
        <f>"Less: Fair Value Hedges (See Note on Ln "&amp;A103&amp;" below)"</f>
        <v>Less: Fair Value Hedges (See Note on Ln 66 below)</v>
      </c>
      <c r="C100" s="119"/>
      <c r="D100" s="119"/>
      <c r="E100" s="119"/>
      <c r="F100" s="119"/>
      <c r="G100" s="119"/>
      <c r="H100" s="119"/>
      <c r="I100" s="119"/>
      <c r="J100" s="631">
        <f>SUM(C100:I100)</f>
        <v>0</v>
      </c>
    </row>
    <row r="101" spans="1:10">
      <c r="A101" s="629">
        <f>A100+1</f>
        <v>65</v>
      </c>
      <c r="B101" s="13" t="s">
        <v>67</v>
      </c>
      <c r="C101" s="632">
        <f t="shared" ref="C101:J101" si="28">C96-C97+C98+C99-C100</f>
        <v>0</v>
      </c>
      <c r="D101" s="632"/>
      <c r="E101" s="632">
        <f t="shared" si="28"/>
        <v>0</v>
      </c>
      <c r="F101" s="632">
        <f t="shared" si="28"/>
        <v>0</v>
      </c>
      <c r="G101" s="632">
        <f t="shared" si="28"/>
        <v>0</v>
      </c>
      <c r="H101" s="632">
        <f t="shared" si="28"/>
        <v>0</v>
      </c>
      <c r="I101" s="632">
        <f t="shared" si="28"/>
        <v>0</v>
      </c>
      <c r="J101" s="632">
        <f t="shared" si="28"/>
        <v>0</v>
      </c>
    </row>
    <row r="103" spans="1:10">
      <c r="A103" s="629">
        <f>A101+1</f>
        <v>66</v>
      </c>
      <c r="B103" s="1247" t="s">
        <v>66</v>
      </c>
      <c r="C103" s="1247"/>
      <c r="D103" s="1247"/>
      <c r="E103" s="1247"/>
      <c r="F103" s="1247"/>
      <c r="G103" s="1247"/>
      <c r="H103" s="1247"/>
      <c r="I103" s="1247"/>
      <c r="J103" s="1247"/>
    </row>
    <row r="104" spans="1:10">
      <c r="B104" s="633"/>
      <c r="C104" s="633"/>
      <c r="D104" s="633"/>
      <c r="E104" s="633"/>
      <c r="F104" s="633"/>
      <c r="G104" s="633"/>
      <c r="H104" s="633"/>
      <c r="I104" s="633"/>
      <c r="J104" s="633"/>
    </row>
    <row r="105" spans="1:10" ht="15">
      <c r="A105" s="603" t="s">
        <v>522</v>
      </c>
    </row>
    <row r="106" spans="1:10">
      <c r="A106" s="629">
        <f>A103+1</f>
        <v>67</v>
      </c>
      <c r="B106" s="75" t="s">
        <v>348</v>
      </c>
      <c r="C106" s="118"/>
      <c r="D106" s="118"/>
      <c r="E106" s="118"/>
      <c r="F106" s="118"/>
      <c r="G106" s="118"/>
      <c r="H106" s="118"/>
      <c r="I106" s="118"/>
      <c r="J106" s="345">
        <f t="shared" ref="J106:J111" si="29">SUM(C106:I106)</f>
        <v>0</v>
      </c>
    </row>
    <row r="107" spans="1:10">
      <c r="A107" s="629">
        <f t="shared" ref="A107:A112" si="30">A106+1</f>
        <v>68</v>
      </c>
      <c r="B107" s="75" t="s">
        <v>341</v>
      </c>
      <c r="C107" s="118"/>
      <c r="D107" s="118"/>
      <c r="E107" s="118"/>
      <c r="F107" s="118"/>
      <c r="G107" s="118"/>
      <c r="H107" s="118"/>
      <c r="I107" s="118"/>
      <c r="J107" s="345">
        <f t="shared" si="29"/>
        <v>0</v>
      </c>
    </row>
    <row r="108" spans="1:10">
      <c r="A108" s="629">
        <f t="shared" si="30"/>
        <v>69</v>
      </c>
      <c r="B108" s="75" t="s">
        <v>342</v>
      </c>
      <c r="C108" s="118"/>
      <c r="D108" s="118"/>
      <c r="E108" s="118"/>
      <c r="F108" s="118"/>
      <c r="G108" s="118"/>
      <c r="H108" s="118"/>
      <c r="I108" s="118"/>
      <c r="J108" s="345">
        <f t="shared" si="29"/>
        <v>0</v>
      </c>
    </row>
    <row r="109" spans="1:10">
      <c r="A109" s="629">
        <f t="shared" si="30"/>
        <v>70</v>
      </c>
      <c r="B109" s="75" t="s">
        <v>343</v>
      </c>
      <c r="C109" s="604"/>
      <c r="D109" s="604"/>
      <c r="E109" s="604"/>
      <c r="F109" s="604"/>
      <c r="G109" s="604"/>
      <c r="H109" s="604"/>
      <c r="I109" s="604"/>
      <c r="J109" s="591">
        <f t="shared" si="29"/>
        <v>0</v>
      </c>
    </row>
    <row r="110" spans="1:10">
      <c r="A110" s="629">
        <f t="shared" si="30"/>
        <v>71</v>
      </c>
      <c r="B110" s="75" t="s">
        <v>344</v>
      </c>
      <c r="C110" s="604"/>
      <c r="D110" s="604"/>
      <c r="E110" s="604"/>
      <c r="F110" s="604"/>
      <c r="G110" s="604"/>
      <c r="H110" s="604"/>
      <c r="I110" s="604"/>
      <c r="J110" s="591">
        <f t="shared" si="29"/>
        <v>0</v>
      </c>
    </row>
    <row r="111" spans="1:10">
      <c r="A111" s="629">
        <f t="shared" si="30"/>
        <v>72</v>
      </c>
      <c r="B111" s="634" t="s">
        <v>523</v>
      </c>
      <c r="C111" s="119"/>
      <c r="D111" s="119"/>
      <c r="E111" s="119"/>
      <c r="F111" s="119"/>
      <c r="G111" s="119"/>
      <c r="H111" s="119"/>
      <c r="I111" s="119"/>
      <c r="J111" s="631">
        <f t="shared" si="29"/>
        <v>0</v>
      </c>
    </row>
    <row r="112" spans="1:10">
      <c r="A112" s="629">
        <f t="shared" si="30"/>
        <v>73</v>
      </c>
      <c r="B112" s="635" t="s">
        <v>68</v>
      </c>
      <c r="C112" s="636">
        <f t="shared" ref="C112:J112" si="31">C106+C107+C108-C109-C110-C111</f>
        <v>0</v>
      </c>
      <c r="D112" s="636"/>
      <c r="E112" s="636">
        <f t="shared" si="31"/>
        <v>0</v>
      </c>
      <c r="F112" s="636">
        <f t="shared" si="31"/>
        <v>0</v>
      </c>
      <c r="G112" s="636">
        <f t="shared" si="31"/>
        <v>0</v>
      </c>
      <c r="H112" s="636">
        <f t="shared" si="31"/>
        <v>0</v>
      </c>
      <c r="I112" s="636">
        <f t="shared" si="31"/>
        <v>0</v>
      </c>
      <c r="J112" s="636">
        <f t="shared" si="31"/>
        <v>0</v>
      </c>
    </row>
    <row r="114" spans="1:10" ht="15">
      <c r="A114" s="603" t="s">
        <v>524</v>
      </c>
      <c r="B114" s="637"/>
      <c r="C114" s="637"/>
      <c r="D114" s="637"/>
      <c r="E114" s="637"/>
    </row>
    <row r="115" spans="1:10">
      <c r="A115" s="629">
        <f>A112+1</f>
        <v>74</v>
      </c>
      <c r="B115" s="76" t="s">
        <v>525</v>
      </c>
      <c r="C115" s="605"/>
      <c r="D115" s="653"/>
      <c r="E115" s="654"/>
      <c r="F115" s="653"/>
      <c r="G115" s="653"/>
      <c r="H115" s="605"/>
      <c r="I115" s="653"/>
      <c r="J115" s="638"/>
    </row>
    <row r="116" spans="1:10">
      <c r="A116" s="629">
        <f>A115+1</f>
        <v>75</v>
      </c>
      <c r="B116" s="76" t="s">
        <v>526</v>
      </c>
      <c r="C116" s="606"/>
      <c r="D116" s="655"/>
      <c r="E116" s="606"/>
      <c r="F116" s="655"/>
      <c r="G116" s="655"/>
      <c r="H116" s="606"/>
      <c r="I116" s="655"/>
      <c r="J116" s="639"/>
    </row>
    <row r="117" spans="1:10">
      <c r="A117" s="629">
        <f>A116+1</f>
        <v>76</v>
      </c>
      <c r="B117" s="76" t="s">
        <v>527</v>
      </c>
      <c r="C117" s="118"/>
      <c r="D117" s="656"/>
      <c r="E117" s="118"/>
      <c r="F117" s="656"/>
      <c r="G117" s="656"/>
      <c r="H117" s="118"/>
      <c r="I117" s="656"/>
    </row>
    <row r="118" spans="1:10">
      <c r="A118" s="629">
        <f>A117+1</f>
        <v>77</v>
      </c>
      <c r="B118" s="76" t="str">
        <f>"Monetary Value (Ln "&amp;A116&amp;" * Ln "&amp;A117&amp;")"</f>
        <v>Monetary Value (Ln 75 * Ln 76)</v>
      </c>
      <c r="C118" s="344">
        <f t="shared" ref="C118:I118" si="32">C116*C117</f>
        <v>0</v>
      </c>
      <c r="D118" s="344"/>
      <c r="E118" s="344">
        <f t="shared" si="32"/>
        <v>0</v>
      </c>
      <c r="F118" s="344">
        <f t="shared" si="32"/>
        <v>0</v>
      </c>
      <c r="G118" s="344">
        <f t="shared" si="32"/>
        <v>0</v>
      </c>
      <c r="H118" s="344">
        <f t="shared" si="32"/>
        <v>0</v>
      </c>
      <c r="I118" s="344">
        <f t="shared" si="32"/>
        <v>0</v>
      </c>
      <c r="J118" s="636">
        <f>SUM(C118:I118)</f>
        <v>0</v>
      </c>
    </row>
    <row r="119" spans="1:10">
      <c r="A119" s="629">
        <f>A118+1</f>
        <v>78</v>
      </c>
      <c r="B119" s="76" t="str">
        <f>"Dividend Amount (Ln "&amp;A115&amp;" * Ln "&amp;A118&amp;")"</f>
        <v>Dividend Amount (Ln 74 * Ln 77)</v>
      </c>
      <c r="C119" s="344">
        <f t="shared" ref="C119:I119" si="33">C118*C115</f>
        <v>0</v>
      </c>
      <c r="D119" s="344"/>
      <c r="E119" s="344">
        <f t="shared" si="33"/>
        <v>0</v>
      </c>
      <c r="F119" s="344">
        <f t="shared" si="33"/>
        <v>0</v>
      </c>
      <c r="G119" s="344">
        <f t="shared" si="33"/>
        <v>0</v>
      </c>
      <c r="H119" s="344">
        <f t="shared" si="33"/>
        <v>0</v>
      </c>
      <c r="I119" s="344">
        <f t="shared" si="33"/>
        <v>0</v>
      </c>
      <c r="J119" s="636">
        <f>SUM(C119:I119)</f>
        <v>0</v>
      </c>
    </row>
    <row r="121" spans="1:10">
      <c r="A121" s="629">
        <f>A119+1</f>
        <v>79</v>
      </c>
      <c r="B121" s="76" t="s">
        <v>525</v>
      </c>
      <c r="C121" s="605"/>
      <c r="D121" s="653"/>
      <c r="E121" s="654"/>
      <c r="F121" s="653"/>
      <c r="G121" s="653"/>
      <c r="H121" s="605"/>
      <c r="I121" s="653"/>
    </row>
    <row r="122" spans="1:10">
      <c r="A122" s="629">
        <f>A121+1</f>
        <v>80</v>
      </c>
      <c r="B122" s="76" t="s">
        <v>526</v>
      </c>
      <c r="C122" s="606"/>
      <c r="D122" s="655"/>
      <c r="E122" s="606"/>
      <c r="F122" s="655"/>
      <c r="G122" s="655"/>
      <c r="H122" s="606"/>
      <c r="I122" s="655"/>
    </row>
    <row r="123" spans="1:10">
      <c r="A123" s="629">
        <f>A122+1</f>
        <v>81</v>
      </c>
      <c r="B123" s="76" t="s">
        <v>527</v>
      </c>
      <c r="C123" s="118"/>
      <c r="D123" s="656"/>
      <c r="E123" s="118"/>
      <c r="F123" s="656"/>
      <c r="G123" s="656"/>
      <c r="H123" s="118"/>
      <c r="I123" s="656"/>
    </row>
    <row r="124" spans="1:10">
      <c r="A124" s="629">
        <f>A123+1</f>
        <v>82</v>
      </c>
      <c r="B124" s="76" t="str">
        <f>"Monetary Value (Ln "&amp;A122&amp;" * Ln "&amp;A123&amp;")"</f>
        <v>Monetary Value (Ln 80 * Ln 81)</v>
      </c>
      <c r="C124" s="344">
        <f t="shared" ref="C124:I124" si="34">C122*C123</f>
        <v>0</v>
      </c>
      <c r="D124" s="344"/>
      <c r="E124" s="344">
        <f t="shared" si="34"/>
        <v>0</v>
      </c>
      <c r="F124" s="344">
        <f t="shared" si="34"/>
        <v>0</v>
      </c>
      <c r="G124" s="344">
        <f t="shared" si="34"/>
        <v>0</v>
      </c>
      <c r="H124" s="344">
        <f t="shared" si="34"/>
        <v>0</v>
      </c>
      <c r="I124" s="344">
        <f t="shared" si="34"/>
        <v>0</v>
      </c>
      <c r="J124" s="636">
        <f>SUM(C124:I124)</f>
        <v>0</v>
      </c>
    </row>
    <row r="125" spans="1:10">
      <c r="A125" s="629">
        <f>A124+1</f>
        <v>83</v>
      </c>
      <c r="B125" s="76" t="str">
        <f>"Dividend Amount (Ln "&amp;A121&amp;" * Ln "&amp;A124&amp;")"</f>
        <v>Dividend Amount (Ln 79 * Ln 82)</v>
      </c>
      <c r="C125" s="344">
        <f t="shared" ref="C125:I125" si="35">C124*C121</f>
        <v>0</v>
      </c>
      <c r="D125" s="344"/>
      <c r="E125" s="344">
        <f t="shared" si="35"/>
        <v>0</v>
      </c>
      <c r="F125" s="344">
        <f t="shared" si="35"/>
        <v>0</v>
      </c>
      <c r="G125" s="344">
        <f t="shared" si="35"/>
        <v>0</v>
      </c>
      <c r="H125" s="344">
        <f t="shared" si="35"/>
        <v>0</v>
      </c>
      <c r="I125" s="344">
        <f t="shared" si="35"/>
        <v>0</v>
      </c>
      <c r="J125" s="636">
        <f>SUM(C125:I125)</f>
        <v>0</v>
      </c>
    </row>
    <row r="127" spans="1:10">
      <c r="A127" s="629">
        <f>A125+1</f>
        <v>84</v>
      </c>
      <c r="B127" s="76" t="s">
        <v>525</v>
      </c>
      <c r="C127" s="605"/>
      <c r="D127" s="653"/>
      <c r="E127" s="654"/>
      <c r="F127" s="653"/>
      <c r="G127" s="653"/>
      <c r="H127" s="605"/>
      <c r="I127" s="653"/>
    </row>
    <row r="128" spans="1:10">
      <c r="A128" s="629">
        <f>A127+1</f>
        <v>85</v>
      </c>
      <c r="B128" s="76" t="s">
        <v>526</v>
      </c>
      <c r="C128" s="606"/>
      <c r="D128" s="655"/>
      <c r="E128" s="606"/>
      <c r="F128" s="655"/>
      <c r="G128" s="655"/>
      <c r="H128" s="606"/>
      <c r="I128" s="655"/>
    </row>
    <row r="129" spans="1:10">
      <c r="A129" s="629">
        <f>A128+1</f>
        <v>86</v>
      </c>
      <c r="B129" s="76" t="s">
        <v>527</v>
      </c>
      <c r="C129" s="118"/>
      <c r="D129" s="656"/>
      <c r="E129" s="118"/>
      <c r="F129" s="656"/>
      <c r="G129" s="656"/>
      <c r="H129" s="118"/>
      <c r="I129" s="656"/>
    </row>
    <row r="130" spans="1:10">
      <c r="A130" s="629">
        <f>A129+1</f>
        <v>87</v>
      </c>
      <c r="B130" s="76" t="str">
        <f>"Monetary Value (Ln "&amp;A128&amp;" * Ln "&amp;A129&amp;")"</f>
        <v>Monetary Value (Ln 85 * Ln 86)</v>
      </c>
      <c r="C130" s="344">
        <f t="shared" ref="C130:I130" si="36">C128*C129</f>
        <v>0</v>
      </c>
      <c r="D130" s="344"/>
      <c r="E130" s="344">
        <f t="shared" si="36"/>
        <v>0</v>
      </c>
      <c r="F130" s="344">
        <f t="shared" si="36"/>
        <v>0</v>
      </c>
      <c r="G130" s="344">
        <f t="shared" si="36"/>
        <v>0</v>
      </c>
      <c r="H130" s="344">
        <f t="shared" si="36"/>
        <v>0</v>
      </c>
      <c r="I130" s="344">
        <f t="shared" si="36"/>
        <v>0</v>
      </c>
      <c r="J130" s="636">
        <f>SUM(C130:I130)</f>
        <v>0</v>
      </c>
    </row>
    <row r="131" spans="1:10">
      <c r="A131" s="629">
        <f>A130+1</f>
        <v>88</v>
      </c>
      <c r="B131" s="76" t="str">
        <f>"Dividend Amount (Ln "&amp;A127&amp;" * Ln "&amp;A130&amp;")"</f>
        <v>Dividend Amount (Ln 84 * Ln 87)</v>
      </c>
      <c r="C131" s="344">
        <f t="shared" ref="C131:I131" si="37">C130*C127</f>
        <v>0</v>
      </c>
      <c r="D131" s="344"/>
      <c r="E131" s="344">
        <f t="shared" si="37"/>
        <v>0</v>
      </c>
      <c r="F131" s="344">
        <f t="shared" si="37"/>
        <v>0</v>
      </c>
      <c r="G131" s="344">
        <f t="shared" si="37"/>
        <v>0</v>
      </c>
      <c r="H131" s="344">
        <f t="shared" si="37"/>
        <v>0</v>
      </c>
      <c r="I131" s="344">
        <f t="shared" si="37"/>
        <v>0</v>
      </c>
      <c r="J131" s="636">
        <f>SUM(C131:I131)</f>
        <v>0</v>
      </c>
    </row>
    <row r="133" spans="1:10">
      <c r="A133" s="629">
        <f>A131+1</f>
        <v>89</v>
      </c>
      <c r="B133" s="76" t="s">
        <v>525</v>
      </c>
      <c r="C133" s="605"/>
      <c r="D133" s="653"/>
      <c r="E133" s="654"/>
      <c r="F133" s="653"/>
      <c r="G133" s="653"/>
      <c r="H133" s="605"/>
      <c r="I133" s="653"/>
    </row>
    <row r="134" spans="1:10">
      <c r="A134" s="629">
        <f>A133+1</f>
        <v>90</v>
      </c>
      <c r="B134" s="76" t="s">
        <v>526</v>
      </c>
      <c r="C134" s="606"/>
      <c r="D134" s="655"/>
      <c r="E134" s="606"/>
      <c r="F134" s="655"/>
      <c r="G134" s="655"/>
      <c r="H134" s="606"/>
      <c r="I134" s="655"/>
    </row>
    <row r="135" spans="1:10">
      <c r="A135" s="629">
        <f>A134+1</f>
        <v>91</v>
      </c>
      <c r="B135" s="76" t="s">
        <v>527</v>
      </c>
      <c r="C135" s="118"/>
      <c r="D135" s="656"/>
      <c r="E135" s="118"/>
      <c r="F135" s="656"/>
      <c r="G135" s="656"/>
      <c r="H135" s="118"/>
      <c r="I135" s="656"/>
    </row>
    <row r="136" spans="1:10">
      <c r="A136" s="629">
        <f>A135+1</f>
        <v>92</v>
      </c>
      <c r="B136" s="76" t="str">
        <f>"Monetary Value (Ln "&amp;A134&amp;" * Ln "&amp;A135&amp;")"</f>
        <v>Monetary Value (Ln 90 * Ln 91)</v>
      </c>
      <c r="C136" s="344">
        <f t="shared" ref="C136:I136" si="38">C134*C135</f>
        <v>0</v>
      </c>
      <c r="D136" s="344"/>
      <c r="E136" s="344">
        <f t="shared" si="38"/>
        <v>0</v>
      </c>
      <c r="F136" s="344">
        <f t="shared" si="38"/>
        <v>0</v>
      </c>
      <c r="G136" s="344">
        <f t="shared" si="38"/>
        <v>0</v>
      </c>
      <c r="H136" s="344">
        <f t="shared" si="38"/>
        <v>0</v>
      </c>
      <c r="I136" s="344">
        <f t="shared" si="38"/>
        <v>0</v>
      </c>
      <c r="J136" s="636">
        <f>SUM(C136:I136)</f>
        <v>0</v>
      </c>
    </row>
    <row r="137" spans="1:10">
      <c r="A137" s="629">
        <f>A136+1</f>
        <v>93</v>
      </c>
      <c r="B137" s="76" t="str">
        <f>"Dividend Amount (Ln "&amp;A133&amp;" * Ln "&amp;A136&amp;")"</f>
        <v>Dividend Amount (Ln 89 * Ln 92)</v>
      </c>
      <c r="C137" s="344">
        <f t="shared" ref="C137:I137" si="39">C136*C133</f>
        <v>0</v>
      </c>
      <c r="D137" s="344"/>
      <c r="E137" s="344">
        <f t="shared" si="39"/>
        <v>0</v>
      </c>
      <c r="F137" s="344">
        <f t="shared" si="39"/>
        <v>0</v>
      </c>
      <c r="G137" s="344">
        <f t="shared" si="39"/>
        <v>0</v>
      </c>
      <c r="H137" s="344">
        <f t="shared" si="39"/>
        <v>0</v>
      </c>
      <c r="I137" s="344">
        <f t="shared" si="39"/>
        <v>0</v>
      </c>
      <c r="J137" s="636">
        <f>SUM(C137:I137)</f>
        <v>0</v>
      </c>
    </row>
    <row r="138" spans="1:10">
      <c r="B138" s="76"/>
    </row>
    <row r="139" spans="1:10">
      <c r="A139" s="629">
        <f>A137+1</f>
        <v>94</v>
      </c>
      <c r="B139" s="346" t="str">
        <f>"Preferred Stock (Lns "&amp;A118&amp;", "&amp;A124&amp;", "&amp;A130&amp;","&amp;A136&amp;")"</f>
        <v>Preferred Stock (Lns 77, 82, 87,92)</v>
      </c>
      <c r="C139" s="636">
        <f t="shared" ref="C139:I140" si="40">C118+C124+C130+C136</f>
        <v>0</v>
      </c>
      <c r="D139" s="636"/>
      <c r="E139" s="636">
        <f t="shared" si="40"/>
        <v>0</v>
      </c>
      <c r="F139" s="636">
        <f t="shared" si="40"/>
        <v>0</v>
      </c>
      <c r="G139" s="636">
        <f t="shared" si="40"/>
        <v>0</v>
      </c>
      <c r="H139" s="636">
        <f t="shared" si="40"/>
        <v>0</v>
      </c>
      <c r="I139" s="636">
        <f t="shared" si="40"/>
        <v>0</v>
      </c>
      <c r="J139" s="636">
        <f>SUM(C139:I139)</f>
        <v>0</v>
      </c>
    </row>
    <row r="140" spans="1:10">
      <c r="A140" s="629">
        <f>A139+1</f>
        <v>95</v>
      </c>
      <c r="B140" s="346" t="str">
        <f>"Preferred Dividends (Lns "&amp;A119&amp;", "&amp;A125&amp;", "&amp;A131&amp;","&amp;A137&amp;")"</f>
        <v>Preferred Dividends (Lns 78, 83, 88,93)</v>
      </c>
      <c r="C140" s="636">
        <f t="shared" si="40"/>
        <v>0</v>
      </c>
      <c r="D140" s="636"/>
      <c r="E140" s="636">
        <f t="shared" si="40"/>
        <v>0</v>
      </c>
      <c r="F140" s="636">
        <f t="shared" si="40"/>
        <v>0</v>
      </c>
      <c r="G140" s="636">
        <f t="shared" si="40"/>
        <v>0</v>
      </c>
      <c r="H140" s="636">
        <f t="shared" si="40"/>
        <v>0</v>
      </c>
      <c r="I140" s="636">
        <f t="shared" si="40"/>
        <v>0</v>
      </c>
      <c r="J140" s="636">
        <f>SUM(C140:I140)</f>
        <v>0</v>
      </c>
    </row>
    <row r="141" spans="1:10">
      <c r="B141" s="640"/>
    </row>
    <row r="142" spans="1:10" ht="15">
      <c r="A142" s="603" t="s">
        <v>528</v>
      </c>
    </row>
    <row r="143" spans="1:10">
      <c r="A143" s="629">
        <f>A140+1</f>
        <v>96</v>
      </c>
      <c r="B143" s="453" t="s">
        <v>529</v>
      </c>
      <c r="C143" s="118"/>
      <c r="D143" s="118"/>
      <c r="E143" s="118"/>
      <c r="F143" s="118"/>
      <c r="G143" s="118"/>
      <c r="H143" s="118"/>
      <c r="I143" s="118"/>
      <c r="J143" s="636">
        <f>SUM(C143:I143)</f>
        <v>0</v>
      </c>
    </row>
    <row r="144" spans="1:10">
      <c r="A144" s="629">
        <f>A143+1</f>
        <v>97</v>
      </c>
      <c r="B144" s="453" t="str">
        <f>"Less: Preferred Stock (Ln "&amp;A139&amp;" Above)"</f>
        <v>Less: Preferred Stock (Ln 94 Above)</v>
      </c>
      <c r="C144" s="345">
        <f>C139</f>
        <v>0</v>
      </c>
      <c r="D144" s="345"/>
      <c r="E144" s="345">
        <f>E139</f>
        <v>0</v>
      </c>
      <c r="F144" s="345">
        <f>F139</f>
        <v>0</v>
      </c>
      <c r="G144" s="345">
        <f>G139</f>
        <v>0</v>
      </c>
      <c r="H144" s="345">
        <f>H139</f>
        <v>0</v>
      </c>
      <c r="I144" s="345">
        <f>I139</f>
        <v>0</v>
      </c>
      <c r="J144" s="636">
        <f>SUM(C144:I144)</f>
        <v>0</v>
      </c>
    </row>
    <row r="145" spans="1:10">
      <c r="A145" s="629">
        <f>A144+1</f>
        <v>98</v>
      </c>
      <c r="B145" s="453" t="s">
        <v>530</v>
      </c>
      <c r="C145" s="604"/>
      <c r="D145" s="604"/>
      <c r="E145" s="604"/>
      <c r="F145" s="604"/>
      <c r="G145" s="604"/>
      <c r="H145" s="604"/>
      <c r="I145" s="604"/>
      <c r="J145" s="636">
        <f>SUM(C145:I145)</f>
        <v>0</v>
      </c>
    </row>
    <row r="146" spans="1:10">
      <c r="A146" s="629">
        <f>A145+1</f>
        <v>99</v>
      </c>
      <c r="B146" s="453" t="s">
        <v>531</v>
      </c>
      <c r="C146" s="119"/>
      <c r="D146" s="119"/>
      <c r="E146" s="119"/>
      <c r="F146" s="119"/>
      <c r="G146" s="119"/>
      <c r="H146" s="119"/>
      <c r="I146" s="119"/>
      <c r="J146" s="641">
        <f>SUM(C146:I146)</f>
        <v>0</v>
      </c>
    </row>
    <row r="147" spans="1:10">
      <c r="A147" s="629">
        <f>A146+1</f>
        <v>100</v>
      </c>
      <c r="B147" s="457" t="s">
        <v>532</v>
      </c>
      <c r="C147" s="591">
        <f t="shared" ref="C147:J147" si="41">C143-C144-C145-C146</f>
        <v>0</v>
      </c>
      <c r="D147" s="591"/>
      <c r="E147" s="591">
        <f t="shared" si="41"/>
        <v>0</v>
      </c>
      <c r="F147" s="591">
        <f t="shared" si="41"/>
        <v>0</v>
      </c>
      <c r="G147" s="591">
        <f t="shared" si="41"/>
        <v>0</v>
      </c>
      <c r="H147" s="591">
        <f t="shared" si="41"/>
        <v>0</v>
      </c>
      <c r="I147" s="591">
        <f t="shared" si="41"/>
        <v>0</v>
      </c>
      <c r="J147" s="591">
        <f t="shared" si="41"/>
        <v>0</v>
      </c>
    </row>
    <row r="149" spans="1:10" ht="15">
      <c r="A149" s="603" t="s">
        <v>533</v>
      </c>
    </row>
    <row r="150" spans="1:10">
      <c r="A150" s="629">
        <f>A147+1</f>
        <v>101</v>
      </c>
      <c r="B150" s="7" t="str">
        <f>"Long Term Debt (Ln "&amp;A101&amp;" Above)"</f>
        <v>Long Term Debt (Ln 65 Above)</v>
      </c>
      <c r="C150" s="636">
        <f t="shared" ref="C150:J150" si="42">C101</f>
        <v>0</v>
      </c>
      <c r="D150" s="636"/>
      <c r="E150" s="636">
        <f t="shared" si="42"/>
        <v>0</v>
      </c>
      <c r="F150" s="636">
        <f t="shared" si="42"/>
        <v>0</v>
      </c>
      <c r="G150" s="636">
        <f t="shared" si="42"/>
        <v>0</v>
      </c>
      <c r="H150" s="636">
        <f t="shared" si="42"/>
        <v>0</v>
      </c>
      <c r="I150" s="636">
        <f t="shared" si="42"/>
        <v>0</v>
      </c>
      <c r="J150" s="636">
        <f t="shared" si="42"/>
        <v>0</v>
      </c>
    </row>
    <row r="151" spans="1:10">
      <c r="A151" s="629">
        <f>A150+1</f>
        <v>102</v>
      </c>
      <c r="B151" s="7" t="str">
        <f>"Preferred Stock (Ln "&amp;A139&amp;" Above)"</f>
        <v>Preferred Stock (Ln 94 Above)</v>
      </c>
      <c r="C151" s="636">
        <f t="shared" ref="C151:J151" si="43">C139</f>
        <v>0</v>
      </c>
      <c r="D151" s="636"/>
      <c r="E151" s="636">
        <f t="shared" si="43"/>
        <v>0</v>
      </c>
      <c r="F151" s="636">
        <f t="shared" si="43"/>
        <v>0</v>
      </c>
      <c r="G151" s="636">
        <f t="shared" si="43"/>
        <v>0</v>
      </c>
      <c r="H151" s="636">
        <f t="shared" si="43"/>
        <v>0</v>
      </c>
      <c r="I151" s="636">
        <f t="shared" si="43"/>
        <v>0</v>
      </c>
      <c r="J151" s="636">
        <f t="shared" si="43"/>
        <v>0</v>
      </c>
    </row>
    <row r="152" spans="1:10">
      <c r="A152" s="629">
        <f>A151+1</f>
        <v>103</v>
      </c>
      <c r="B152" s="7" t="str">
        <f>"Common Equity (Ln "&amp;A147&amp;" Above)"</f>
        <v>Common Equity (Ln 100 Above)</v>
      </c>
      <c r="C152" s="641">
        <f t="shared" ref="C152:J152" si="44">C147</f>
        <v>0</v>
      </c>
      <c r="D152" s="641"/>
      <c r="E152" s="641">
        <f t="shared" si="44"/>
        <v>0</v>
      </c>
      <c r="F152" s="641">
        <f t="shared" si="44"/>
        <v>0</v>
      </c>
      <c r="G152" s="641">
        <f t="shared" si="44"/>
        <v>0</v>
      </c>
      <c r="H152" s="641">
        <f t="shared" si="44"/>
        <v>0</v>
      </c>
      <c r="I152" s="641">
        <f t="shared" si="44"/>
        <v>0</v>
      </c>
      <c r="J152" s="641">
        <f t="shared" si="44"/>
        <v>0</v>
      </c>
    </row>
    <row r="153" spans="1:10">
      <c r="A153" s="629">
        <f>A152+1</f>
        <v>104</v>
      </c>
      <c r="B153" s="629" t="s">
        <v>534</v>
      </c>
      <c r="C153" s="636">
        <f t="shared" ref="C153:J153" si="45">SUM(C150:C152)</f>
        <v>0</v>
      </c>
      <c r="D153" s="636"/>
      <c r="E153" s="636">
        <f t="shared" si="45"/>
        <v>0</v>
      </c>
      <c r="F153" s="636">
        <f t="shared" si="45"/>
        <v>0</v>
      </c>
      <c r="G153" s="636">
        <f t="shared" si="45"/>
        <v>0</v>
      </c>
      <c r="H153" s="636">
        <f t="shared" si="45"/>
        <v>0</v>
      </c>
      <c r="I153" s="636">
        <f t="shared" si="45"/>
        <v>0</v>
      </c>
      <c r="J153" s="636">
        <f t="shared" si="45"/>
        <v>0</v>
      </c>
    </row>
    <row r="155" spans="1:10">
      <c r="A155" s="629">
        <f>A153+1</f>
        <v>105</v>
      </c>
      <c r="B155" s="7" t="str">
        <f>"LTD Capital Shares (Ln "&amp;A150&amp;" / Ln "&amp;A153&amp;")"</f>
        <v>LTD Capital Shares (Ln 101 / Ln 104)</v>
      </c>
      <c r="C155" s="642" t="e">
        <f t="shared" ref="C155:J155" si="46">C150/C153</f>
        <v>#DIV/0!</v>
      </c>
      <c r="D155" s="642"/>
      <c r="E155" s="642" t="e">
        <f t="shared" si="46"/>
        <v>#DIV/0!</v>
      </c>
      <c r="F155" s="642" t="e">
        <f t="shared" si="46"/>
        <v>#DIV/0!</v>
      </c>
      <c r="G155" s="642" t="e">
        <f t="shared" si="46"/>
        <v>#DIV/0!</v>
      </c>
      <c r="H155" s="642" t="e">
        <f t="shared" si="46"/>
        <v>#DIV/0!</v>
      </c>
      <c r="I155" s="642" t="e">
        <f t="shared" si="46"/>
        <v>#DIV/0!</v>
      </c>
      <c r="J155" s="642" t="e">
        <f t="shared" si="46"/>
        <v>#DIV/0!</v>
      </c>
    </row>
    <row r="156" spans="1:10">
      <c r="A156" s="629">
        <f>A155+1</f>
        <v>106</v>
      </c>
      <c r="B156" s="7" t="str">
        <f>"Preferred Stock Capital Shares (Ln "&amp;A151&amp;" / Ln "&amp;A153&amp;")"</f>
        <v>Preferred Stock Capital Shares (Ln 102 / Ln 104)</v>
      </c>
      <c r="C156" s="642" t="e">
        <f t="shared" ref="C156:J156" si="47">C151/C153</f>
        <v>#DIV/0!</v>
      </c>
      <c r="D156" s="642"/>
      <c r="E156" s="642" t="e">
        <f t="shared" si="47"/>
        <v>#DIV/0!</v>
      </c>
      <c r="F156" s="642" t="e">
        <f t="shared" si="47"/>
        <v>#DIV/0!</v>
      </c>
      <c r="G156" s="642" t="e">
        <f t="shared" si="47"/>
        <v>#DIV/0!</v>
      </c>
      <c r="H156" s="642" t="e">
        <f t="shared" si="47"/>
        <v>#DIV/0!</v>
      </c>
      <c r="I156" s="642" t="e">
        <f t="shared" si="47"/>
        <v>#DIV/0!</v>
      </c>
      <c r="J156" s="642" t="e">
        <f t="shared" si="47"/>
        <v>#DIV/0!</v>
      </c>
    </row>
    <row r="157" spans="1:10">
      <c r="A157" s="629">
        <f>A156+1</f>
        <v>107</v>
      </c>
      <c r="B157" s="7" t="str">
        <f>"Common Equity Capital Shares (Ln "&amp;A152&amp;" / Ln "&amp;A153&amp;")"</f>
        <v>Common Equity Capital Shares (Ln 103 / Ln 104)</v>
      </c>
      <c r="C157" s="643" t="e">
        <f t="shared" ref="C157:J157" si="48">C152/C153</f>
        <v>#DIV/0!</v>
      </c>
      <c r="D157" s="643"/>
      <c r="E157" s="643" t="e">
        <f t="shared" si="48"/>
        <v>#DIV/0!</v>
      </c>
      <c r="F157" s="643" t="e">
        <f t="shared" si="48"/>
        <v>#DIV/0!</v>
      </c>
      <c r="G157" s="643" t="e">
        <f t="shared" si="48"/>
        <v>#DIV/0!</v>
      </c>
      <c r="H157" s="643" t="e">
        <f t="shared" si="48"/>
        <v>#DIV/0!</v>
      </c>
      <c r="I157" s="643" t="e">
        <f t="shared" si="48"/>
        <v>#DIV/0!</v>
      </c>
      <c r="J157" s="643" t="e">
        <f t="shared" si="48"/>
        <v>#DIV/0!</v>
      </c>
    </row>
    <row r="158" spans="1:10">
      <c r="B158" s="7"/>
      <c r="C158" s="643"/>
      <c r="D158" s="643"/>
      <c r="E158" s="643"/>
      <c r="F158" s="643"/>
      <c r="G158" s="643"/>
      <c r="H158" s="643"/>
      <c r="I158" s="643"/>
      <c r="J158" s="643"/>
    </row>
    <row r="159" spans="1:10">
      <c r="A159" s="629">
        <f>A157+1</f>
        <v>108</v>
      </c>
      <c r="B159" s="346" t="s">
        <v>564</v>
      </c>
      <c r="C159" s="644"/>
      <c r="D159" s="644"/>
      <c r="E159" s="644"/>
      <c r="F159" s="644"/>
      <c r="G159" s="644"/>
      <c r="H159" s="644"/>
      <c r="I159" s="644"/>
      <c r="J159" s="644"/>
    </row>
    <row r="160" spans="1:10">
      <c r="B160" s="7"/>
      <c r="C160" s="643"/>
      <c r="D160" s="643"/>
      <c r="E160" s="643"/>
      <c r="F160" s="643"/>
      <c r="G160" s="643"/>
      <c r="H160" s="643"/>
      <c r="I160" s="643"/>
      <c r="J160" s="643"/>
    </row>
    <row r="161" spans="1:10">
      <c r="A161" s="629">
        <f>A159+1</f>
        <v>109</v>
      </c>
      <c r="B161" s="346" t="s">
        <v>564</v>
      </c>
      <c r="C161" s="643"/>
      <c r="D161" s="643"/>
      <c r="E161" s="643"/>
      <c r="F161" s="643"/>
      <c r="G161" s="643"/>
      <c r="H161" s="643"/>
      <c r="I161" s="643"/>
      <c r="J161" s="643"/>
    </row>
    <row r="162" spans="1:10">
      <c r="A162" s="629">
        <f>A161+1</f>
        <v>110</v>
      </c>
      <c r="B162" s="346" t="s">
        <v>564</v>
      </c>
      <c r="C162" s="643"/>
      <c r="D162" s="643"/>
      <c r="E162" s="643"/>
      <c r="F162" s="643"/>
      <c r="G162" s="643"/>
      <c r="H162" s="643"/>
      <c r="I162" s="643"/>
      <c r="J162" s="643"/>
    </row>
    <row r="163" spans="1:10">
      <c r="A163" s="629">
        <f>A162+1</f>
        <v>111</v>
      </c>
      <c r="B163" s="346" t="s">
        <v>564</v>
      </c>
      <c r="C163" s="643"/>
      <c r="D163" s="643"/>
      <c r="E163" s="643"/>
      <c r="F163" s="643"/>
      <c r="G163" s="643"/>
      <c r="H163" s="643"/>
      <c r="I163" s="643"/>
      <c r="J163" s="643"/>
    </row>
    <row r="164" spans="1:10">
      <c r="B164" s="7"/>
      <c r="C164" s="642"/>
      <c r="D164" s="642"/>
      <c r="E164" s="642"/>
      <c r="F164" s="642"/>
      <c r="G164" s="642"/>
      <c r="H164" s="642"/>
      <c r="I164" s="642"/>
      <c r="J164" s="642"/>
    </row>
    <row r="165" spans="1:10" ht="15">
      <c r="A165" s="603" t="s">
        <v>535</v>
      </c>
    </row>
    <row r="166" spans="1:10">
      <c r="A166" s="629">
        <f>A163+1</f>
        <v>112</v>
      </c>
      <c r="B166" s="7" t="str">
        <f>"LTD Capital Cost Rate (Ln "&amp;A112&amp;" / Ln "&amp;A101&amp;")"</f>
        <v>LTD Capital Cost Rate (Ln 73 / Ln 65)</v>
      </c>
      <c r="C166" s="642" t="e">
        <f t="shared" ref="C166:J166" si="49">C112/C101</f>
        <v>#DIV/0!</v>
      </c>
      <c r="D166" s="642"/>
      <c r="E166" s="642" t="e">
        <f t="shared" si="49"/>
        <v>#DIV/0!</v>
      </c>
      <c r="F166" s="642" t="e">
        <f t="shared" si="49"/>
        <v>#DIV/0!</v>
      </c>
      <c r="G166" s="642" t="e">
        <f t="shared" si="49"/>
        <v>#DIV/0!</v>
      </c>
      <c r="H166" s="642" t="e">
        <f t="shared" si="49"/>
        <v>#DIV/0!</v>
      </c>
      <c r="I166" s="642" t="e">
        <f t="shared" si="49"/>
        <v>#DIV/0!</v>
      </c>
      <c r="J166" s="642" t="e">
        <f t="shared" si="49"/>
        <v>#DIV/0!</v>
      </c>
    </row>
    <row r="167" spans="1:10">
      <c r="A167" s="629">
        <f>A166+1</f>
        <v>113</v>
      </c>
      <c r="B167" s="7" t="str">
        <f>"Preferred Stock Capital Cost Rate (Ln "&amp;A140&amp;" / Ln "&amp;A139&amp;")"</f>
        <v>Preferred Stock Capital Cost Rate (Ln 95 / Ln 94)</v>
      </c>
      <c r="C167" s="642">
        <f t="shared" ref="C167:J167" si="50">IF(C139=0,0,C140/C139)</f>
        <v>0</v>
      </c>
      <c r="D167" s="642"/>
      <c r="E167" s="642">
        <f t="shared" si="50"/>
        <v>0</v>
      </c>
      <c r="F167" s="642">
        <f t="shared" si="50"/>
        <v>0</v>
      </c>
      <c r="G167" s="642">
        <f t="shared" si="50"/>
        <v>0</v>
      </c>
      <c r="H167" s="642">
        <f t="shared" si="50"/>
        <v>0</v>
      </c>
      <c r="I167" s="642">
        <f t="shared" si="50"/>
        <v>0</v>
      </c>
      <c r="J167" s="642">
        <f t="shared" si="50"/>
        <v>0</v>
      </c>
    </row>
    <row r="168" spans="1:10">
      <c r="A168" s="629">
        <f>A167+1</f>
        <v>114</v>
      </c>
      <c r="B168" s="7" t="s">
        <v>536</v>
      </c>
      <c r="C168" s="642">
        <v>0.1149</v>
      </c>
      <c r="D168" s="642"/>
      <c r="E168" s="642">
        <v>0.1149</v>
      </c>
      <c r="F168" s="642">
        <v>0.1149</v>
      </c>
      <c r="G168" s="642">
        <v>0.1149</v>
      </c>
      <c r="H168" s="642">
        <v>0.1149</v>
      </c>
      <c r="I168" s="642">
        <v>0.1149</v>
      </c>
      <c r="J168" s="642">
        <v>0.1149</v>
      </c>
    </row>
    <row r="170" spans="1:10" ht="15">
      <c r="A170" s="603" t="s">
        <v>537</v>
      </c>
    </row>
    <row r="171" spans="1:10">
      <c r="A171" s="629">
        <f>A168+1</f>
        <v>115</v>
      </c>
      <c r="B171" s="7" t="str">
        <f>"LTD Weighted Capital Cost Rate (Ln "&amp;A155&amp;" * Ln "&amp;A166&amp;")"</f>
        <v>LTD Weighted Capital Cost Rate (Ln 105 * Ln 112)</v>
      </c>
      <c r="C171" s="642" t="e">
        <f>C155*C166</f>
        <v>#DIV/0!</v>
      </c>
      <c r="D171" s="642"/>
      <c r="E171" s="642" t="e">
        <f t="shared" ref="E171:J171" si="51">E155*E166</f>
        <v>#DIV/0!</v>
      </c>
      <c r="F171" s="642" t="e">
        <f t="shared" si="51"/>
        <v>#DIV/0!</v>
      </c>
      <c r="G171" s="642" t="e">
        <f t="shared" si="51"/>
        <v>#DIV/0!</v>
      </c>
      <c r="H171" s="642" t="e">
        <f t="shared" si="51"/>
        <v>#DIV/0!</v>
      </c>
      <c r="I171" s="642" t="e">
        <f t="shared" si="51"/>
        <v>#DIV/0!</v>
      </c>
      <c r="J171" s="642" t="e">
        <f t="shared" si="51"/>
        <v>#DIV/0!</v>
      </c>
    </row>
    <row r="172" spans="1:10">
      <c r="A172" s="629">
        <f>A171+1</f>
        <v>116</v>
      </c>
      <c r="B172" s="7" t="str">
        <f>"Preferred Stock Capital Cost Rate (Ln "&amp;A156&amp;" * Ln "&amp;A167&amp;")"</f>
        <v>Preferred Stock Capital Cost Rate (Ln 106 * Ln 113)</v>
      </c>
      <c r="C172" s="642" t="e">
        <f>C156*C167</f>
        <v>#DIV/0!</v>
      </c>
      <c r="D172" s="642"/>
      <c r="E172" s="642" t="e">
        <f t="shared" ref="E172:J172" si="52">E156*E167</f>
        <v>#DIV/0!</v>
      </c>
      <c r="F172" s="642" t="e">
        <f t="shared" si="52"/>
        <v>#DIV/0!</v>
      </c>
      <c r="G172" s="642" t="e">
        <f t="shared" si="52"/>
        <v>#DIV/0!</v>
      </c>
      <c r="H172" s="642" t="e">
        <f t="shared" si="52"/>
        <v>#DIV/0!</v>
      </c>
      <c r="I172" s="642" t="e">
        <f t="shared" si="52"/>
        <v>#DIV/0!</v>
      </c>
      <c r="J172" s="642" t="e">
        <f t="shared" si="52"/>
        <v>#DIV/0!</v>
      </c>
    </row>
    <row r="173" spans="1:10">
      <c r="A173" s="629">
        <f>A172+1</f>
        <v>117</v>
      </c>
      <c r="B173" s="7" t="str">
        <f>"Common Equity Capital Cost Rate (Ln "&amp;A157&amp;" * Ln "&amp;A168&amp;")"</f>
        <v>Common Equity Capital Cost Rate (Ln 107 * Ln 114)</v>
      </c>
      <c r="C173" s="645" t="e">
        <f>C157*C168</f>
        <v>#DIV/0!</v>
      </c>
      <c r="D173" s="645"/>
      <c r="E173" s="645" t="e">
        <f t="shared" ref="E173:J173" si="53">E157*E168</f>
        <v>#DIV/0!</v>
      </c>
      <c r="F173" s="645" t="e">
        <f t="shared" si="53"/>
        <v>#DIV/0!</v>
      </c>
      <c r="G173" s="645" t="e">
        <f t="shared" si="53"/>
        <v>#DIV/0!</v>
      </c>
      <c r="H173" s="645" t="e">
        <f t="shared" si="53"/>
        <v>#DIV/0!</v>
      </c>
      <c r="I173" s="645" t="e">
        <f t="shared" si="53"/>
        <v>#DIV/0!</v>
      </c>
      <c r="J173" s="645" t="e">
        <f t="shared" si="53"/>
        <v>#DIV/0!</v>
      </c>
    </row>
    <row r="174" spans="1:10">
      <c r="A174" s="629">
        <f>A173+1</f>
        <v>118</v>
      </c>
      <c r="B174" s="635" t="s">
        <v>534</v>
      </c>
      <c r="C174" s="646" t="e">
        <f t="shared" ref="C174:J174" si="54">SUM(C171:C173)</f>
        <v>#DIV/0!</v>
      </c>
      <c r="D174" s="646"/>
      <c r="E174" s="646" t="e">
        <f t="shared" si="54"/>
        <v>#DIV/0!</v>
      </c>
      <c r="F174" s="646" t="e">
        <f t="shared" si="54"/>
        <v>#DIV/0!</v>
      </c>
      <c r="G174" s="646" t="e">
        <f t="shared" si="54"/>
        <v>#DIV/0!</v>
      </c>
      <c r="H174" s="646" t="e">
        <f t="shared" si="54"/>
        <v>#DIV/0!</v>
      </c>
      <c r="I174" s="646" t="e">
        <f t="shared" si="54"/>
        <v>#DIV/0!</v>
      </c>
      <c r="J174" s="646" t="e">
        <f t="shared" si="54"/>
        <v>#DIV/0!</v>
      </c>
    </row>
    <row r="177" spans="1:10">
      <c r="A177" s="1248" t="s">
        <v>513</v>
      </c>
      <c r="B177" s="1248"/>
      <c r="C177" s="1248"/>
      <c r="D177" s="1248"/>
      <c r="E177" s="1248"/>
      <c r="F177" s="1248"/>
      <c r="G177" s="1248"/>
      <c r="H177" s="1248"/>
      <c r="I177" s="1248"/>
      <c r="J177" s="1248"/>
    </row>
    <row r="178" spans="1:10">
      <c r="A178" s="1248" t="s">
        <v>538</v>
      </c>
      <c r="B178" s="1248"/>
      <c r="C178" s="1248"/>
      <c r="D178" s="1248"/>
      <c r="E178" s="1248"/>
      <c r="F178" s="1248"/>
      <c r="G178" s="1248"/>
      <c r="H178" s="1248"/>
      <c r="I178" s="1248"/>
      <c r="J178" s="1248"/>
    </row>
    <row r="179" spans="1:10">
      <c r="A179" s="1248" t="s">
        <v>258</v>
      </c>
      <c r="B179" s="1248"/>
      <c r="C179" s="1248"/>
      <c r="D179" s="1248"/>
      <c r="E179" s="1248"/>
      <c r="F179" s="1248"/>
      <c r="G179" s="1248"/>
      <c r="H179" s="1248"/>
      <c r="I179" s="1248"/>
      <c r="J179" s="1248"/>
    </row>
    <row r="181" spans="1:10" ht="76.5">
      <c r="A181" s="629" t="s">
        <v>467</v>
      </c>
      <c r="C181" s="630" t="s">
        <v>514</v>
      </c>
      <c r="D181" s="630"/>
      <c r="E181" s="630" t="s">
        <v>515</v>
      </c>
      <c r="F181" s="630" t="s">
        <v>516</v>
      </c>
      <c r="G181" s="630" t="s">
        <v>517</v>
      </c>
      <c r="H181" s="630" t="s">
        <v>518</v>
      </c>
      <c r="I181" s="630" t="s">
        <v>519</v>
      </c>
      <c r="J181" s="630" t="s">
        <v>520</v>
      </c>
    </row>
    <row r="182" spans="1:10" ht="15">
      <c r="A182" s="603" t="s">
        <v>539</v>
      </c>
    </row>
    <row r="183" spans="1:10">
      <c r="A183" s="629">
        <f>A174+1</f>
        <v>119</v>
      </c>
      <c r="B183" s="75" t="str">
        <f>"Average Bonds (Ln "&amp;A9&amp;" + Ln "&amp;A96&amp;") / 2"</f>
        <v>Average Bonds (Ln 1 + Ln 60) / 2</v>
      </c>
      <c r="C183" s="591" t="e">
        <f t="shared" ref="C183:I187" si="55">AVERAGE(C9,C96)</f>
        <v>#DIV/0!</v>
      </c>
      <c r="D183" s="591"/>
      <c r="E183" s="591" t="e">
        <f t="shared" si="55"/>
        <v>#DIV/0!</v>
      </c>
      <c r="F183" s="591" t="e">
        <f t="shared" si="55"/>
        <v>#DIV/0!</v>
      </c>
      <c r="G183" s="591" t="e">
        <f t="shared" si="55"/>
        <v>#DIV/0!</v>
      </c>
      <c r="H183" s="591" t="e">
        <f t="shared" si="55"/>
        <v>#DIV/0!</v>
      </c>
      <c r="I183" s="591" t="e">
        <f t="shared" si="55"/>
        <v>#DIV/0!</v>
      </c>
      <c r="J183" s="591" t="e">
        <f>SUM(C183:I183)</f>
        <v>#DIV/0!</v>
      </c>
    </row>
    <row r="184" spans="1:10">
      <c r="A184" s="629">
        <f>A183+1</f>
        <v>120</v>
      </c>
      <c r="B184" s="75" t="str">
        <f>"Less: Average Reacquired Bonds (Ln "&amp;A10&amp;" + Ln "&amp;A97&amp;") / 2"</f>
        <v>Less: Average Reacquired Bonds (Ln 2 + Ln 61) / 2</v>
      </c>
      <c r="C184" s="591" t="e">
        <f t="shared" si="55"/>
        <v>#DIV/0!</v>
      </c>
      <c r="D184" s="591"/>
      <c r="E184" s="591" t="e">
        <f t="shared" si="55"/>
        <v>#DIV/0!</v>
      </c>
      <c r="F184" s="591" t="e">
        <f t="shared" si="55"/>
        <v>#DIV/0!</v>
      </c>
      <c r="G184" s="591" t="e">
        <f t="shared" si="55"/>
        <v>#DIV/0!</v>
      </c>
      <c r="H184" s="591" t="e">
        <f t="shared" si="55"/>
        <v>#DIV/0!</v>
      </c>
      <c r="I184" s="591" t="e">
        <f t="shared" si="55"/>
        <v>#DIV/0!</v>
      </c>
      <c r="J184" s="591" t="e">
        <f>SUM(C184:I184)</f>
        <v>#DIV/0!</v>
      </c>
    </row>
    <row r="185" spans="1:10">
      <c r="A185" s="629">
        <f>A184+1</f>
        <v>121</v>
      </c>
      <c r="B185" s="14" t="str">
        <f>"Average LT Advances from Assoc. Companies (Ln "&amp;A11&amp;" + Ln "&amp;A98&amp;") / 2"</f>
        <v>Average LT Advances from Assoc. Companies (Ln 3 + Ln 62) / 2</v>
      </c>
      <c r="C185" s="591" t="e">
        <f t="shared" si="55"/>
        <v>#DIV/0!</v>
      </c>
      <c r="D185" s="591"/>
      <c r="E185" s="591" t="e">
        <f t="shared" si="55"/>
        <v>#DIV/0!</v>
      </c>
      <c r="F185" s="591" t="e">
        <f t="shared" si="55"/>
        <v>#DIV/0!</v>
      </c>
      <c r="G185" s="591" t="e">
        <f t="shared" si="55"/>
        <v>#DIV/0!</v>
      </c>
      <c r="H185" s="591" t="e">
        <f t="shared" si="55"/>
        <v>#DIV/0!</v>
      </c>
      <c r="I185" s="591" t="e">
        <f t="shared" si="55"/>
        <v>#DIV/0!</v>
      </c>
      <c r="J185" s="591" t="e">
        <f>SUM(C185:I185)</f>
        <v>#DIV/0!</v>
      </c>
    </row>
    <row r="186" spans="1:10">
      <c r="A186" s="629">
        <f>A185+1</f>
        <v>122</v>
      </c>
      <c r="B186" s="14" t="str">
        <f>"Average Senior Unsecured Notes (Ln "&amp;A12&amp;" + Ln "&amp;A99&amp;") / 2"</f>
        <v>Average Senior Unsecured Notes (Ln 4 + Ln 63) / 2</v>
      </c>
      <c r="C186" s="591" t="e">
        <f t="shared" si="55"/>
        <v>#DIV/0!</v>
      </c>
      <c r="D186" s="591"/>
      <c r="E186" s="591" t="e">
        <f t="shared" si="55"/>
        <v>#DIV/0!</v>
      </c>
      <c r="F186" s="591" t="e">
        <f t="shared" si="55"/>
        <v>#DIV/0!</v>
      </c>
      <c r="G186" s="591" t="e">
        <f t="shared" si="55"/>
        <v>#DIV/0!</v>
      </c>
      <c r="H186" s="591" t="e">
        <f t="shared" si="55"/>
        <v>#DIV/0!</v>
      </c>
      <c r="I186" s="591" t="e">
        <f t="shared" si="55"/>
        <v>#DIV/0!</v>
      </c>
      <c r="J186" s="591" t="e">
        <f>SUM(C186:I186)</f>
        <v>#DIV/0!</v>
      </c>
    </row>
    <row r="187" spans="1:10">
      <c r="A187" s="629">
        <f>A186+1</f>
        <v>123</v>
      </c>
      <c r="B187" s="14" t="str">
        <f>"Less: Average Fair Value Hedges (See Note on Ln "&amp;A190&amp;" below)"</f>
        <v>Less: Average Fair Value Hedges (See Note on Ln 125 below)</v>
      </c>
      <c r="C187" s="647" t="e">
        <f t="shared" si="55"/>
        <v>#DIV/0!</v>
      </c>
      <c r="D187" s="647"/>
      <c r="E187" s="647" t="e">
        <f t="shared" si="55"/>
        <v>#DIV/0!</v>
      </c>
      <c r="F187" s="647" t="e">
        <f t="shared" si="55"/>
        <v>#DIV/0!</v>
      </c>
      <c r="G187" s="647" t="e">
        <f t="shared" si="55"/>
        <v>#DIV/0!</v>
      </c>
      <c r="H187" s="647" t="e">
        <f t="shared" si="55"/>
        <v>#DIV/0!</v>
      </c>
      <c r="I187" s="647" t="e">
        <f t="shared" si="55"/>
        <v>#DIV/0!</v>
      </c>
      <c r="J187" s="631" t="e">
        <f>SUM(C187:I187)</f>
        <v>#DIV/0!</v>
      </c>
    </row>
    <row r="188" spans="1:10">
      <c r="A188" s="629">
        <f>A187+1</f>
        <v>124</v>
      </c>
      <c r="B188" s="13" t="s">
        <v>540</v>
      </c>
      <c r="C188" s="632" t="e">
        <f t="shared" ref="C188:J188" si="56">C183-C184+C185+C186-C187</f>
        <v>#DIV/0!</v>
      </c>
      <c r="D188" s="632"/>
      <c r="E188" s="632" t="e">
        <f t="shared" si="56"/>
        <v>#DIV/0!</v>
      </c>
      <c r="F188" s="632" t="e">
        <f t="shared" si="56"/>
        <v>#DIV/0!</v>
      </c>
      <c r="G188" s="632" t="e">
        <f t="shared" si="56"/>
        <v>#DIV/0!</v>
      </c>
      <c r="H188" s="632" t="e">
        <f t="shared" si="56"/>
        <v>#DIV/0!</v>
      </c>
      <c r="I188" s="632" t="e">
        <f t="shared" si="56"/>
        <v>#DIV/0!</v>
      </c>
      <c r="J188" s="632" t="e">
        <f t="shared" si="56"/>
        <v>#DIV/0!</v>
      </c>
    </row>
    <row r="190" spans="1:10">
      <c r="A190" s="629">
        <f>A188+1</f>
        <v>125</v>
      </c>
      <c r="B190" s="1247" t="s">
        <v>65</v>
      </c>
      <c r="C190" s="1247"/>
      <c r="D190" s="1247"/>
      <c r="E190" s="1247"/>
      <c r="F190" s="1247"/>
      <c r="G190" s="1247"/>
      <c r="H190" s="1247"/>
      <c r="I190" s="1247"/>
      <c r="J190" s="1247"/>
    </row>
    <row r="191" spans="1:10">
      <c r="A191" s="648"/>
      <c r="B191" s="633"/>
      <c r="C191" s="633"/>
      <c r="D191" s="633"/>
      <c r="E191" s="633"/>
      <c r="F191" s="633"/>
      <c r="G191" s="633"/>
      <c r="H191" s="633"/>
      <c r="I191" s="633"/>
      <c r="J191" s="633"/>
    </row>
    <row r="192" spans="1:10" ht="15">
      <c r="A192" s="603" t="e">
        <f>"Development of "&amp;TCOS!#REF!&amp;" Long Term Debt Interest Expense"</f>
        <v>#REF!</v>
      </c>
    </row>
    <row r="193" spans="1:10">
      <c r="A193" s="629">
        <f>A190+1</f>
        <v>126</v>
      </c>
      <c r="B193" s="14" t="str">
        <f t="shared" ref="B193:I193" si="57">B19</f>
        <v>Interest on Long Term Debt (256-257.33.i)</v>
      </c>
      <c r="C193" s="345">
        <f t="shared" si="57"/>
        <v>0</v>
      </c>
      <c r="D193" s="345"/>
      <c r="E193" s="345">
        <f t="shared" si="57"/>
        <v>0</v>
      </c>
      <c r="F193" s="345">
        <f t="shared" si="57"/>
        <v>0</v>
      </c>
      <c r="G193" s="345">
        <f t="shared" si="57"/>
        <v>0</v>
      </c>
      <c r="H193" s="345">
        <f t="shared" si="57"/>
        <v>0</v>
      </c>
      <c r="I193" s="345">
        <f t="shared" si="57"/>
        <v>0</v>
      </c>
      <c r="J193" s="345">
        <f t="shared" ref="J193:J198" si="58">SUM(C193:I193)</f>
        <v>0</v>
      </c>
    </row>
    <row r="194" spans="1:10">
      <c r="A194" s="629">
        <f t="shared" ref="A194:A199" si="59">A193+1</f>
        <v>127</v>
      </c>
      <c r="B194" s="14" t="str">
        <f t="shared" ref="B194:C198" si="60">B20</f>
        <v>Amort of Debt Discount &amp; Expense (117.63.c)</v>
      </c>
      <c r="C194" s="345">
        <f>C20</f>
        <v>0</v>
      </c>
      <c r="D194" s="345"/>
      <c r="E194" s="345">
        <f t="shared" ref="E194:I195" si="61">E20</f>
        <v>0</v>
      </c>
      <c r="F194" s="345">
        <f t="shared" si="61"/>
        <v>0</v>
      </c>
      <c r="G194" s="345">
        <f t="shared" si="61"/>
        <v>0</v>
      </c>
      <c r="H194" s="345">
        <f t="shared" si="61"/>
        <v>0</v>
      </c>
      <c r="I194" s="345">
        <f t="shared" si="61"/>
        <v>0</v>
      </c>
      <c r="J194" s="345">
        <f t="shared" si="58"/>
        <v>0</v>
      </c>
    </row>
    <row r="195" spans="1:10">
      <c r="A195" s="629">
        <f t="shared" si="59"/>
        <v>128</v>
      </c>
      <c r="B195" s="14" t="str">
        <f t="shared" si="60"/>
        <v>Amort of Loss on Reacquired Debt (117.64.c)</v>
      </c>
      <c r="C195" s="345">
        <f t="shared" si="60"/>
        <v>0</v>
      </c>
      <c r="D195" s="345"/>
      <c r="E195" s="345">
        <f t="shared" si="61"/>
        <v>0</v>
      </c>
      <c r="F195" s="345">
        <f t="shared" si="61"/>
        <v>0</v>
      </c>
      <c r="G195" s="345">
        <f t="shared" si="61"/>
        <v>0</v>
      </c>
      <c r="H195" s="345">
        <f t="shared" si="61"/>
        <v>0</v>
      </c>
      <c r="I195" s="345">
        <f t="shared" si="61"/>
        <v>0</v>
      </c>
      <c r="J195" s="345">
        <f t="shared" si="58"/>
        <v>0</v>
      </c>
    </row>
    <row r="196" spans="1:10">
      <c r="A196" s="629">
        <f t="shared" si="59"/>
        <v>129</v>
      </c>
      <c r="B196" s="14" t="str">
        <f>B22</f>
        <v>Less: Amort of Premium on Debt (117.65.c)</v>
      </c>
      <c r="C196" s="345">
        <f t="shared" ref="C196:I196" si="62">C22</f>
        <v>0</v>
      </c>
      <c r="D196" s="345"/>
      <c r="E196" s="345">
        <f t="shared" si="62"/>
        <v>0</v>
      </c>
      <c r="F196" s="345">
        <f t="shared" si="62"/>
        <v>0</v>
      </c>
      <c r="G196" s="345">
        <f t="shared" si="62"/>
        <v>0</v>
      </c>
      <c r="H196" s="345">
        <f t="shared" si="62"/>
        <v>0</v>
      </c>
      <c r="I196" s="345">
        <f t="shared" si="62"/>
        <v>0</v>
      </c>
      <c r="J196" s="591">
        <f t="shared" si="58"/>
        <v>0</v>
      </c>
    </row>
    <row r="197" spans="1:10">
      <c r="A197" s="629">
        <f t="shared" si="59"/>
        <v>130</v>
      </c>
      <c r="B197" s="14" t="str">
        <f t="shared" si="60"/>
        <v>Less: Amort of Gain on Reacquired Debt (117.66.c)</v>
      </c>
      <c r="C197" s="345">
        <f>C23</f>
        <v>0</v>
      </c>
      <c r="D197" s="345"/>
      <c r="E197" s="345">
        <f t="shared" ref="E197:I198" si="63">E23</f>
        <v>0</v>
      </c>
      <c r="F197" s="345">
        <f t="shared" si="63"/>
        <v>0</v>
      </c>
      <c r="G197" s="345">
        <f t="shared" si="63"/>
        <v>0</v>
      </c>
      <c r="H197" s="345">
        <f t="shared" si="63"/>
        <v>0</v>
      </c>
      <c r="I197" s="345">
        <f t="shared" si="63"/>
        <v>0</v>
      </c>
      <c r="J197" s="591">
        <f t="shared" si="58"/>
        <v>0</v>
      </c>
    </row>
    <row r="198" spans="1:10">
      <c r="A198" s="629">
        <f t="shared" si="59"/>
        <v>131</v>
      </c>
      <c r="B198" s="14" t="str">
        <f t="shared" si="60"/>
        <v>Less: Hedge Interest on pp 256-257(i)</v>
      </c>
      <c r="C198" s="647">
        <f>C24</f>
        <v>0</v>
      </c>
      <c r="D198" s="647"/>
      <c r="E198" s="647">
        <f t="shared" si="63"/>
        <v>0</v>
      </c>
      <c r="F198" s="647">
        <f t="shared" si="63"/>
        <v>0</v>
      </c>
      <c r="G198" s="647">
        <f t="shared" si="63"/>
        <v>0</v>
      </c>
      <c r="H198" s="647">
        <f t="shared" si="63"/>
        <v>0</v>
      </c>
      <c r="I198" s="647">
        <f t="shared" si="63"/>
        <v>0</v>
      </c>
      <c r="J198" s="631">
        <f t="shared" si="58"/>
        <v>0</v>
      </c>
    </row>
    <row r="199" spans="1:10">
      <c r="A199" s="629">
        <f t="shared" si="59"/>
        <v>132</v>
      </c>
      <c r="B199" s="649" t="e">
        <f>""&amp;TCOS!#REF!&amp;" LTD Interest Expense"</f>
        <v>#REF!</v>
      </c>
      <c r="C199" s="636">
        <f t="shared" ref="C199:J199" si="64">C193+C194+C195-C196-C197-C198</f>
        <v>0</v>
      </c>
      <c r="D199" s="636"/>
      <c r="E199" s="636">
        <f t="shared" si="64"/>
        <v>0</v>
      </c>
      <c r="F199" s="636">
        <f t="shared" si="64"/>
        <v>0</v>
      </c>
      <c r="G199" s="636">
        <f t="shared" si="64"/>
        <v>0</v>
      </c>
      <c r="H199" s="636">
        <f t="shared" si="64"/>
        <v>0</v>
      </c>
      <c r="I199" s="636">
        <f t="shared" si="64"/>
        <v>0</v>
      </c>
      <c r="J199" s="636">
        <f t="shared" si="64"/>
        <v>0</v>
      </c>
    </row>
    <row r="201" spans="1:10" ht="15">
      <c r="A201" s="603" t="e">
        <f>""&amp;TCOS!#REF!&amp;" Cost of Preferred Stock and Preferred Dividends"</f>
        <v>#REF!</v>
      </c>
      <c r="B201" s="637"/>
      <c r="C201" s="637"/>
      <c r="D201" s="637"/>
      <c r="E201" s="637"/>
    </row>
    <row r="202" spans="1:10">
      <c r="A202" s="629">
        <f>A199+1</f>
        <v>133</v>
      </c>
      <c r="B202" s="7" t="str">
        <f>"Average Balance of Preferred Stock (Ln "&amp;A52&amp;" + Ln "&amp;A139&amp;") / 2"</f>
        <v>Average Balance of Preferred Stock (Ln 35 + Ln 94) / 2</v>
      </c>
      <c r="C202" s="636">
        <f>AVERAGE(C52,C139)</f>
        <v>0</v>
      </c>
      <c r="D202" s="636"/>
      <c r="E202" s="636">
        <f t="shared" ref="E202:J202" si="65">AVERAGE(E52,E139)</f>
        <v>0</v>
      </c>
      <c r="F202" s="636">
        <f t="shared" si="65"/>
        <v>0</v>
      </c>
      <c r="G202" s="636">
        <f t="shared" si="65"/>
        <v>0</v>
      </c>
      <c r="H202" s="636">
        <f t="shared" si="65"/>
        <v>0</v>
      </c>
      <c r="I202" s="636">
        <f t="shared" si="65"/>
        <v>0</v>
      </c>
      <c r="J202" s="636">
        <f t="shared" si="65"/>
        <v>0</v>
      </c>
    </row>
    <row r="203" spans="1:10">
      <c r="A203" s="629">
        <f>A202+1</f>
        <v>134</v>
      </c>
      <c r="B203" s="7" t="e">
        <f>""&amp;TCOS!#REF!&amp;" Preferred Dividends (Ln "&amp;A53&amp;")"</f>
        <v>#REF!</v>
      </c>
      <c r="C203" s="636">
        <f>C53</f>
        <v>0</v>
      </c>
      <c r="D203" s="636"/>
      <c r="E203" s="636">
        <f t="shared" ref="E203:J203" si="66">E53</f>
        <v>0</v>
      </c>
      <c r="F203" s="636">
        <f t="shared" si="66"/>
        <v>0</v>
      </c>
      <c r="G203" s="636">
        <f t="shared" si="66"/>
        <v>0</v>
      </c>
      <c r="H203" s="636">
        <f t="shared" si="66"/>
        <v>0</v>
      </c>
      <c r="I203" s="636">
        <f t="shared" si="66"/>
        <v>0</v>
      </c>
      <c r="J203" s="636">
        <f t="shared" si="66"/>
        <v>0</v>
      </c>
    </row>
    <row r="204" spans="1:10">
      <c r="B204" s="648"/>
    </row>
    <row r="205" spans="1:10" ht="15">
      <c r="A205" s="603" t="s">
        <v>541</v>
      </c>
    </row>
    <row r="206" spans="1:10">
      <c r="A206" s="629">
        <f>A203+1</f>
        <v>135</v>
      </c>
      <c r="B206" s="453" t="str">
        <f>"Average Proprietary Capital (Ln "&amp;A56&amp;" + Ln "&amp;A143&amp;") / 2"</f>
        <v>Average Proprietary Capital (Ln 37 + Ln 96) / 2</v>
      </c>
      <c r="C206" s="345" t="e">
        <f t="shared" ref="C206:I206" si="67">AVERAGE(C56,C143)</f>
        <v>#DIV/0!</v>
      </c>
      <c r="D206" s="345"/>
      <c r="E206" s="345" t="e">
        <f t="shared" si="67"/>
        <v>#DIV/0!</v>
      </c>
      <c r="F206" s="345" t="e">
        <f t="shared" si="67"/>
        <v>#DIV/0!</v>
      </c>
      <c r="G206" s="345" t="e">
        <f t="shared" si="67"/>
        <v>#DIV/0!</v>
      </c>
      <c r="H206" s="345" t="e">
        <f t="shared" si="67"/>
        <v>#DIV/0!</v>
      </c>
      <c r="I206" s="345" t="e">
        <f t="shared" si="67"/>
        <v>#DIV/0!</v>
      </c>
      <c r="J206" s="636" t="e">
        <f>SUM(C206:I206)</f>
        <v>#DIV/0!</v>
      </c>
    </row>
    <row r="207" spans="1:10">
      <c r="A207" s="629">
        <f>A206+1</f>
        <v>136</v>
      </c>
      <c r="B207" s="453" t="str">
        <f>"Less: Average Preferred Stock (Ln "&amp;A202&amp;" Above)"</f>
        <v>Less: Average Preferred Stock (Ln 133 Above)</v>
      </c>
      <c r="C207" s="345">
        <f t="shared" ref="C207:H207" si="68">C202</f>
        <v>0</v>
      </c>
      <c r="D207" s="345"/>
      <c r="E207" s="345">
        <f t="shared" si="68"/>
        <v>0</v>
      </c>
      <c r="F207" s="345">
        <f t="shared" si="68"/>
        <v>0</v>
      </c>
      <c r="G207" s="345">
        <f t="shared" si="68"/>
        <v>0</v>
      </c>
      <c r="H207" s="345">
        <f t="shared" si="68"/>
        <v>0</v>
      </c>
      <c r="I207" s="345">
        <f>I202</f>
        <v>0</v>
      </c>
      <c r="J207" s="636">
        <f>SUM(C207:I207)</f>
        <v>0</v>
      </c>
    </row>
    <row r="208" spans="1:10">
      <c r="A208" s="629">
        <f>A207+1</f>
        <v>137</v>
      </c>
      <c r="B208" s="453" t="str">
        <f>"Less: Average Account 216.1 (Ln "&amp;A58&amp;" + Ln "&amp;A145&amp;") / 2"</f>
        <v>Less: Average Account 216.1 (Ln 39 + Ln 98) / 2</v>
      </c>
      <c r="C208" s="345" t="e">
        <f t="shared" ref="C208:I209" si="69">AVERAGE(C58,C145)</f>
        <v>#DIV/0!</v>
      </c>
      <c r="D208" s="345"/>
      <c r="E208" s="345" t="e">
        <f t="shared" si="69"/>
        <v>#DIV/0!</v>
      </c>
      <c r="F208" s="345" t="e">
        <f t="shared" si="69"/>
        <v>#DIV/0!</v>
      </c>
      <c r="G208" s="345" t="e">
        <f t="shared" si="69"/>
        <v>#DIV/0!</v>
      </c>
      <c r="H208" s="345" t="e">
        <f t="shared" si="69"/>
        <v>#DIV/0!</v>
      </c>
      <c r="I208" s="345" t="e">
        <f t="shared" si="69"/>
        <v>#DIV/0!</v>
      </c>
      <c r="J208" s="636" t="e">
        <f>SUM(C208:I208)</f>
        <v>#DIV/0!</v>
      </c>
    </row>
    <row r="209" spans="1:12">
      <c r="A209" s="629">
        <f>A208+1</f>
        <v>138</v>
      </c>
      <c r="B209" s="453" t="str">
        <f>"Less: Average Account 219.1 (Ln "&amp;A59&amp;" + Ln "&amp;A146&amp;") / 2"</f>
        <v>Less: Average Account 219.1 (Ln 40 + Ln 99) / 2</v>
      </c>
      <c r="C209" s="647" t="e">
        <f t="shared" si="69"/>
        <v>#DIV/0!</v>
      </c>
      <c r="D209" s="647"/>
      <c r="E209" s="647" t="e">
        <f t="shared" si="69"/>
        <v>#DIV/0!</v>
      </c>
      <c r="F209" s="647" t="e">
        <f t="shared" si="69"/>
        <v>#DIV/0!</v>
      </c>
      <c r="G209" s="647" t="e">
        <f t="shared" si="69"/>
        <v>#DIV/0!</v>
      </c>
      <c r="H209" s="647" t="e">
        <f t="shared" si="69"/>
        <v>#DIV/0!</v>
      </c>
      <c r="I209" s="647" t="e">
        <f t="shared" si="69"/>
        <v>#DIV/0!</v>
      </c>
      <c r="J209" s="641" t="e">
        <f>SUM(C209:I209)</f>
        <v>#DIV/0!</v>
      </c>
    </row>
    <row r="210" spans="1:12">
      <c r="A210" s="629">
        <f>A209+1</f>
        <v>139</v>
      </c>
      <c r="B210" s="457" t="s">
        <v>339</v>
      </c>
      <c r="C210" s="591" t="e">
        <f t="shared" ref="C210:J210" si="70">C206-C207-C208-C209</f>
        <v>#DIV/0!</v>
      </c>
      <c r="D210" s="591"/>
      <c r="E210" s="591" t="e">
        <f t="shared" si="70"/>
        <v>#DIV/0!</v>
      </c>
      <c r="F210" s="591" t="e">
        <f t="shared" si="70"/>
        <v>#DIV/0!</v>
      </c>
      <c r="G210" s="591" t="e">
        <f t="shared" si="70"/>
        <v>#DIV/0!</v>
      </c>
      <c r="H210" s="591" t="e">
        <f t="shared" si="70"/>
        <v>#DIV/0!</v>
      </c>
      <c r="I210" s="591" t="e">
        <f t="shared" si="70"/>
        <v>#DIV/0!</v>
      </c>
      <c r="J210" s="591" t="e">
        <f t="shared" si="70"/>
        <v>#DIV/0!</v>
      </c>
    </row>
    <row r="212" spans="1:12" ht="15">
      <c r="A212" s="603" t="s">
        <v>533</v>
      </c>
    </row>
    <row r="213" spans="1:12">
      <c r="A213" s="629">
        <f>A210+1</f>
        <v>140</v>
      </c>
      <c r="B213" s="7" t="str">
        <f>"Average Balance of Long Term Debt (Ln "&amp;A188&amp;" Above)"</f>
        <v>Average Balance of Long Term Debt (Ln 124 Above)</v>
      </c>
      <c r="C213" s="636" t="e">
        <f t="shared" ref="C213:J213" si="71">C188</f>
        <v>#DIV/0!</v>
      </c>
      <c r="D213" s="636"/>
      <c r="E213" s="636" t="e">
        <f t="shared" si="71"/>
        <v>#DIV/0!</v>
      </c>
      <c r="F213" s="636" t="e">
        <f t="shared" si="71"/>
        <v>#DIV/0!</v>
      </c>
      <c r="G213" s="636" t="e">
        <f t="shared" si="71"/>
        <v>#DIV/0!</v>
      </c>
      <c r="H213" s="636" t="e">
        <f t="shared" si="71"/>
        <v>#DIV/0!</v>
      </c>
      <c r="I213" s="636" t="e">
        <f t="shared" si="71"/>
        <v>#DIV/0!</v>
      </c>
      <c r="J213" s="636" t="e">
        <f t="shared" si="71"/>
        <v>#DIV/0!</v>
      </c>
    </row>
    <row r="214" spans="1:12">
      <c r="A214" s="629">
        <f>A213+1</f>
        <v>141</v>
      </c>
      <c r="B214" s="7" t="str">
        <f>"Average Balance of Preferred Stock (Ln "&amp;A202&amp;" Above)"</f>
        <v>Average Balance of Preferred Stock (Ln 133 Above)</v>
      </c>
      <c r="C214" s="636">
        <f t="shared" ref="C214:J214" si="72">C202</f>
        <v>0</v>
      </c>
      <c r="D214" s="636"/>
      <c r="E214" s="636">
        <f t="shared" si="72"/>
        <v>0</v>
      </c>
      <c r="F214" s="636">
        <f t="shared" si="72"/>
        <v>0</v>
      </c>
      <c r="G214" s="636">
        <f t="shared" si="72"/>
        <v>0</v>
      </c>
      <c r="H214" s="636">
        <f t="shared" si="72"/>
        <v>0</v>
      </c>
      <c r="I214" s="636">
        <f t="shared" si="72"/>
        <v>0</v>
      </c>
      <c r="J214" s="636">
        <f t="shared" si="72"/>
        <v>0</v>
      </c>
    </row>
    <row r="215" spans="1:12">
      <c r="A215" s="629">
        <f>A214+1</f>
        <v>142</v>
      </c>
      <c r="B215" s="7" t="str">
        <f>"Average Balance of Common Equity (Ln "&amp;A210&amp;" Above)"</f>
        <v>Average Balance of Common Equity (Ln 139 Above)</v>
      </c>
      <c r="C215" s="641" t="e">
        <f t="shared" ref="C215:J215" si="73">C210</f>
        <v>#DIV/0!</v>
      </c>
      <c r="D215" s="641"/>
      <c r="E215" s="641" t="e">
        <f t="shared" si="73"/>
        <v>#DIV/0!</v>
      </c>
      <c r="F215" s="641" t="e">
        <f t="shared" si="73"/>
        <v>#DIV/0!</v>
      </c>
      <c r="G215" s="641" t="e">
        <f t="shared" si="73"/>
        <v>#DIV/0!</v>
      </c>
      <c r="H215" s="641" t="e">
        <f t="shared" si="73"/>
        <v>#DIV/0!</v>
      </c>
      <c r="I215" s="641" t="e">
        <f t="shared" si="73"/>
        <v>#DIV/0!</v>
      </c>
      <c r="J215" s="641" t="e">
        <f t="shared" si="73"/>
        <v>#DIV/0!</v>
      </c>
    </row>
    <row r="216" spans="1:12">
      <c r="A216" s="629">
        <f>A215+1</f>
        <v>143</v>
      </c>
      <c r="B216" s="629" t="s">
        <v>542</v>
      </c>
      <c r="C216" s="636" t="e">
        <f t="shared" ref="C216:J216" si="74">SUM(C213:C215)</f>
        <v>#DIV/0!</v>
      </c>
      <c r="D216" s="636"/>
      <c r="E216" s="636" t="e">
        <f t="shared" si="74"/>
        <v>#DIV/0!</v>
      </c>
      <c r="F216" s="636" t="e">
        <f t="shared" si="74"/>
        <v>#DIV/0!</v>
      </c>
      <c r="G216" s="636" t="e">
        <f t="shared" si="74"/>
        <v>#DIV/0!</v>
      </c>
      <c r="H216" s="636" t="e">
        <f t="shared" si="74"/>
        <v>#DIV/0!</v>
      </c>
      <c r="I216" s="636" t="e">
        <f t="shared" si="74"/>
        <v>#DIV/0!</v>
      </c>
      <c r="J216" s="636" t="e">
        <f t="shared" si="74"/>
        <v>#DIV/0!</v>
      </c>
      <c r="L216" s="650"/>
    </row>
    <row r="218" spans="1:12">
      <c r="A218" s="629">
        <f>A216+1</f>
        <v>144</v>
      </c>
      <c r="B218" s="7" t="str">
        <f>"Average Balance of LTD Capital Shares (Ln "&amp;A213&amp;" / Ln "&amp;A216&amp;")"</f>
        <v>Average Balance of LTD Capital Shares (Ln 140 / Ln 143)</v>
      </c>
      <c r="C218" s="642" t="e">
        <f t="shared" ref="C218:I218" si="75">C213/C216</f>
        <v>#DIV/0!</v>
      </c>
      <c r="D218" s="642"/>
      <c r="E218" s="642" t="e">
        <f t="shared" si="75"/>
        <v>#DIV/0!</v>
      </c>
      <c r="F218" s="642" t="e">
        <f t="shared" si="75"/>
        <v>#DIV/0!</v>
      </c>
      <c r="G218" s="642" t="e">
        <f t="shared" si="75"/>
        <v>#DIV/0!</v>
      </c>
      <c r="H218" s="642" t="e">
        <f t="shared" si="75"/>
        <v>#DIV/0!</v>
      </c>
      <c r="I218" s="642" t="e">
        <f t="shared" si="75"/>
        <v>#DIV/0!</v>
      </c>
      <c r="J218" s="642" t="e">
        <f>J213/J216</f>
        <v>#DIV/0!</v>
      </c>
    </row>
    <row r="219" spans="1:12">
      <c r="A219" s="629">
        <f>A218+1</f>
        <v>145</v>
      </c>
      <c r="B219" s="7" t="str">
        <f>"Average Balance of Preferred Stock Capital Shares (Ln "&amp;A214&amp;" / Ln "&amp;A216&amp;")"</f>
        <v>Average Balance of Preferred Stock Capital Shares (Ln 141 / Ln 143)</v>
      </c>
      <c r="C219" s="642" t="e">
        <f t="shared" ref="C219:I219" si="76">C214/C216</f>
        <v>#DIV/0!</v>
      </c>
      <c r="D219" s="642"/>
      <c r="E219" s="642" t="e">
        <f t="shared" si="76"/>
        <v>#DIV/0!</v>
      </c>
      <c r="F219" s="642" t="e">
        <f t="shared" si="76"/>
        <v>#DIV/0!</v>
      </c>
      <c r="G219" s="642" t="e">
        <f t="shared" si="76"/>
        <v>#DIV/0!</v>
      </c>
      <c r="H219" s="642" t="e">
        <f t="shared" si="76"/>
        <v>#DIV/0!</v>
      </c>
      <c r="I219" s="642" t="e">
        <f t="shared" si="76"/>
        <v>#DIV/0!</v>
      </c>
      <c r="J219" s="642" t="e">
        <f>J214/J216</f>
        <v>#DIV/0!</v>
      </c>
    </row>
    <row r="220" spans="1:12">
      <c r="A220" s="629">
        <f>A219+1</f>
        <v>146</v>
      </c>
      <c r="B220" s="7" t="str">
        <f>"Average Balance of Common Equity Capital Shares (Ln "&amp;A215&amp;" / Ln "&amp;A216&amp;")"</f>
        <v>Average Balance of Common Equity Capital Shares (Ln 142 / Ln 143)</v>
      </c>
      <c r="C220" s="643" t="e">
        <f t="shared" ref="C220:I220" si="77">C215/C216</f>
        <v>#DIV/0!</v>
      </c>
      <c r="D220" s="643"/>
      <c r="E220" s="643" t="e">
        <f t="shared" si="77"/>
        <v>#DIV/0!</v>
      </c>
      <c r="F220" s="643" t="e">
        <f t="shared" si="77"/>
        <v>#DIV/0!</v>
      </c>
      <c r="G220" s="643" t="e">
        <f t="shared" si="77"/>
        <v>#DIV/0!</v>
      </c>
      <c r="H220" s="643" t="e">
        <f t="shared" si="77"/>
        <v>#DIV/0!</v>
      </c>
      <c r="I220" s="643" t="e">
        <f t="shared" si="77"/>
        <v>#DIV/0!</v>
      </c>
      <c r="J220" s="643" t="e">
        <f>J215/J216</f>
        <v>#DIV/0!</v>
      </c>
    </row>
    <row r="221" spans="1:12">
      <c r="B221" s="7"/>
      <c r="C221" s="643"/>
      <c r="D221" s="643"/>
      <c r="E221" s="643"/>
      <c r="F221" s="643"/>
      <c r="G221" s="643"/>
      <c r="H221" s="643"/>
      <c r="I221" s="643"/>
      <c r="J221" s="643"/>
    </row>
    <row r="222" spans="1:12">
      <c r="A222" s="629">
        <f>A220+1</f>
        <v>147</v>
      </c>
      <c r="B222" s="346" t="s">
        <v>564</v>
      </c>
      <c r="C222" s="643"/>
      <c r="D222" s="643"/>
      <c r="E222" s="643"/>
      <c r="F222" s="643"/>
      <c r="G222" s="643"/>
      <c r="H222" s="643"/>
      <c r="I222" s="643"/>
      <c r="J222" s="643"/>
    </row>
    <row r="223" spans="1:12">
      <c r="B223" s="7"/>
      <c r="C223" s="643"/>
      <c r="D223" s="643"/>
      <c r="E223" s="643"/>
      <c r="F223" s="643"/>
      <c r="G223" s="643"/>
      <c r="H223" s="643"/>
      <c r="I223" s="643"/>
      <c r="J223" s="643"/>
    </row>
    <row r="224" spans="1:12">
      <c r="A224" s="629">
        <f>A222+1</f>
        <v>148</v>
      </c>
      <c r="B224" s="346" t="s">
        <v>564</v>
      </c>
      <c r="C224" s="643"/>
      <c r="D224" s="643"/>
      <c r="E224" s="643"/>
      <c r="F224" s="643"/>
      <c r="G224" s="643"/>
      <c r="H224" s="643"/>
      <c r="I224" s="643"/>
      <c r="J224" s="643"/>
    </row>
    <row r="225" spans="1:10">
      <c r="A225" s="629">
        <f>A224+1</f>
        <v>149</v>
      </c>
      <c r="B225" s="346" t="s">
        <v>564</v>
      </c>
      <c r="C225" s="643"/>
      <c r="D225" s="643"/>
      <c r="E225" s="643"/>
      <c r="F225" s="643"/>
      <c r="G225" s="643"/>
      <c r="H225" s="643"/>
      <c r="I225" s="643"/>
      <c r="J225" s="643"/>
    </row>
    <row r="226" spans="1:10">
      <c r="A226" s="629">
        <f>A225+1</f>
        <v>150</v>
      </c>
      <c r="B226" s="346" t="s">
        <v>564</v>
      </c>
      <c r="C226" s="643"/>
      <c r="D226" s="643"/>
      <c r="E226" s="643"/>
      <c r="F226" s="643"/>
      <c r="G226" s="643"/>
      <c r="H226" s="643"/>
      <c r="I226" s="643"/>
      <c r="J226" s="643"/>
    </row>
    <row r="227" spans="1:10">
      <c r="B227" s="7"/>
      <c r="C227" s="643"/>
      <c r="D227" s="643"/>
      <c r="E227" s="643"/>
      <c r="F227" s="643"/>
      <c r="G227" s="643"/>
      <c r="H227" s="643"/>
      <c r="I227" s="643"/>
      <c r="J227" s="643"/>
    </row>
    <row r="228" spans="1:10" ht="15">
      <c r="A228" s="603" t="s">
        <v>535</v>
      </c>
    </row>
    <row r="229" spans="1:10">
      <c r="A229" s="629">
        <f>A226+1</f>
        <v>151</v>
      </c>
      <c r="B229" s="7" t="str">
        <f>"LTD Capital Cost Rate (Ln "&amp;A199&amp;" / Ln "&amp;A188&amp;")"</f>
        <v>LTD Capital Cost Rate (Ln 132 / Ln 124)</v>
      </c>
      <c r="C229" s="643" t="e">
        <f t="shared" ref="C229:J229" si="78">C199/C188</f>
        <v>#DIV/0!</v>
      </c>
      <c r="D229" s="643"/>
      <c r="E229" s="643" t="e">
        <f t="shared" si="78"/>
        <v>#DIV/0!</v>
      </c>
      <c r="F229" s="643" t="e">
        <f t="shared" si="78"/>
        <v>#DIV/0!</v>
      </c>
      <c r="G229" s="643" t="e">
        <f t="shared" si="78"/>
        <v>#DIV/0!</v>
      </c>
      <c r="H229" s="643" t="e">
        <f t="shared" si="78"/>
        <v>#DIV/0!</v>
      </c>
      <c r="I229" s="643" t="e">
        <f t="shared" si="78"/>
        <v>#DIV/0!</v>
      </c>
      <c r="J229" s="643" t="e">
        <f t="shared" si="78"/>
        <v>#DIV/0!</v>
      </c>
    </row>
    <row r="230" spans="1:10">
      <c r="A230" s="629">
        <f>A229+1</f>
        <v>152</v>
      </c>
      <c r="B230" s="7" t="str">
        <f>"Preferred Stock Capital Cost Rate (Ln "&amp;A203&amp;" / Ln "&amp;A202&amp;")"</f>
        <v>Preferred Stock Capital Cost Rate (Ln 134 / Ln 133)</v>
      </c>
      <c r="C230" s="643">
        <f t="shared" ref="C230:J230" si="79">IF(C202=0,0,C203/C202)</f>
        <v>0</v>
      </c>
      <c r="D230" s="643"/>
      <c r="E230" s="643">
        <f t="shared" si="79"/>
        <v>0</v>
      </c>
      <c r="F230" s="643">
        <f t="shared" si="79"/>
        <v>0</v>
      </c>
      <c r="G230" s="643">
        <f t="shared" si="79"/>
        <v>0</v>
      </c>
      <c r="H230" s="643">
        <f t="shared" si="79"/>
        <v>0</v>
      </c>
      <c r="I230" s="643">
        <f t="shared" si="79"/>
        <v>0</v>
      </c>
      <c r="J230" s="643">
        <f t="shared" si="79"/>
        <v>0</v>
      </c>
    </row>
    <row r="231" spans="1:10">
      <c r="A231" s="629">
        <f>A230+1</f>
        <v>153</v>
      </c>
      <c r="B231" s="7" t="s">
        <v>536</v>
      </c>
      <c r="C231" s="643">
        <v>0.1149</v>
      </c>
      <c r="D231" s="643"/>
      <c r="E231" s="643">
        <v>0.1149</v>
      </c>
      <c r="F231" s="643">
        <v>0.1149</v>
      </c>
      <c r="G231" s="643">
        <v>0.1149</v>
      </c>
      <c r="H231" s="643">
        <v>0.1149</v>
      </c>
      <c r="I231" s="643">
        <v>0.1149</v>
      </c>
      <c r="J231" s="643">
        <v>0.1149</v>
      </c>
    </row>
    <row r="233" spans="1:10" ht="15">
      <c r="A233" s="603" t="s">
        <v>537</v>
      </c>
    </row>
    <row r="234" spans="1:10">
      <c r="A234" s="629">
        <f>A231+1</f>
        <v>154</v>
      </c>
      <c r="B234" s="7" t="str">
        <f>"LTD Weighted Capital Cost Rate (Ln "&amp;A218&amp;" * Ln "&amp;A229&amp;")"</f>
        <v>LTD Weighted Capital Cost Rate (Ln 144 * Ln 151)</v>
      </c>
      <c r="C234" s="643" t="e">
        <f>C218*C229</f>
        <v>#DIV/0!</v>
      </c>
      <c r="D234" s="643"/>
      <c r="E234" s="643" t="e">
        <f t="shared" ref="E234:J234" si="80">E218*E229</f>
        <v>#DIV/0!</v>
      </c>
      <c r="F234" s="643" t="e">
        <f t="shared" si="80"/>
        <v>#DIV/0!</v>
      </c>
      <c r="G234" s="643" t="e">
        <f t="shared" si="80"/>
        <v>#DIV/0!</v>
      </c>
      <c r="H234" s="643" t="e">
        <f t="shared" si="80"/>
        <v>#DIV/0!</v>
      </c>
      <c r="I234" s="643" t="e">
        <f t="shared" si="80"/>
        <v>#DIV/0!</v>
      </c>
      <c r="J234" s="643" t="e">
        <f t="shared" si="80"/>
        <v>#DIV/0!</v>
      </c>
    </row>
    <row r="235" spans="1:10">
      <c r="A235" s="629">
        <f>A234+1</f>
        <v>155</v>
      </c>
      <c r="B235" s="7" t="str">
        <f>"Preferred Stock Capital Cost Rate (Ln "&amp;A219&amp;" * Ln "&amp;A230&amp;")"</f>
        <v>Preferred Stock Capital Cost Rate (Ln 145 * Ln 152)</v>
      </c>
      <c r="C235" s="643" t="e">
        <f>C219*C230</f>
        <v>#DIV/0!</v>
      </c>
      <c r="D235" s="643"/>
      <c r="E235" s="643" t="e">
        <f t="shared" ref="E235:J235" si="81">E219*E230</f>
        <v>#DIV/0!</v>
      </c>
      <c r="F235" s="643" t="e">
        <f t="shared" si="81"/>
        <v>#DIV/0!</v>
      </c>
      <c r="G235" s="643" t="e">
        <f t="shared" si="81"/>
        <v>#DIV/0!</v>
      </c>
      <c r="H235" s="643" t="e">
        <f t="shared" si="81"/>
        <v>#DIV/0!</v>
      </c>
      <c r="I235" s="643" t="e">
        <f t="shared" si="81"/>
        <v>#DIV/0!</v>
      </c>
      <c r="J235" s="643" t="e">
        <f t="shared" si="81"/>
        <v>#DIV/0!</v>
      </c>
    </row>
    <row r="236" spans="1:10">
      <c r="A236" s="629">
        <f>A235+1</f>
        <v>156</v>
      </c>
      <c r="B236" s="7" t="str">
        <f>"Common Equity Capital Cost Rate (Ln "&amp;A220&amp;" * Ln "&amp;A231&amp;")"</f>
        <v>Common Equity Capital Cost Rate (Ln 146 * Ln 153)</v>
      </c>
      <c r="C236" s="651" t="e">
        <f>C220*C231</f>
        <v>#DIV/0!</v>
      </c>
      <c r="D236" s="651"/>
      <c r="E236" s="651" t="e">
        <f t="shared" ref="E236:J236" si="82">E220*E231</f>
        <v>#DIV/0!</v>
      </c>
      <c r="F236" s="651" t="e">
        <f t="shared" si="82"/>
        <v>#DIV/0!</v>
      </c>
      <c r="G236" s="651" t="e">
        <f t="shared" si="82"/>
        <v>#DIV/0!</v>
      </c>
      <c r="H236" s="651" t="e">
        <f t="shared" si="82"/>
        <v>#DIV/0!</v>
      </c>
      <c r="I236" s="651" t="e">
        <f t="shared" si="82"/>
        <v>#DIV/0!</v>
      </c>
      <c r="J236" s="651" t="e">
        <f t="shared" si="82"/>
        <v>#DIV/0!</v>
      </c>
    </row>
    <row r="237" spans="1:10">
      <c r="A237" s="629">
        <f>A236+1</f>
        <v>157</v>
      </c>
      <c r="B237" s="649" t="s">
        <v>69</v>
      </c>
      <c r="C237" s="652" t="e">
        <f t="shared" ref="C237:J237" si="83">SUM(C234:C236)</f>
        <v>#DIV/0!</v>
      </c>
      <c r="D237" s="652"/>
      <c r="E237" s="652" t="e">
        <f t="shared" si="83"/>
        <v>#DIV/0!</v>
      </c>
      <c r="F237" s="652" t="e">
        <f t="shared" si="83"/>
        <v>#DIV/0!</v>
      </c>
      <c r="G237" s="652" t="e">
        <f t="shared" si="83"/>
        <v>#DIV/0!</v>
      </c>
      <c r="H237" s="652" t="e">
        <f t="shared" si="83"/>
        <v>#DIV/0!</v>
      </c>
      <c r="I237" s="652" t="e">
        <f t="shared" si="83"/>
        <v>#DIV/0!</v>
      </c>
      <c r="J237" s="652" t="e">
        <f t="shared" si="83"/>
        <v>#DIV/0!</v>
      </c>
    </row>
    <row r="238" spans="1:10">
      <c r="B238" s="648"/>
    </row>
  </sheetData>
  <mergeCells count="12">
    <mergeCell ref="B190:J190"/>
    <mergeCell ref="B16:J16"/>
    <mergeCell ref="A3:J3"/>
    <mergeCell ref="A4:J4"/>
    <mergeCell ref="A5:J5"/>
    <mergeCell ref="A90:J90"/>
    <mergeCell ref="A91:J91"/>
    <mergeCell ref="A92:J92"/>
    <mergeCell ref="B103:J103"/>
    <mergeCell ref="A177:J177"/>
    <mergeCell ref="A178:J178"/>
    <mergeCell ref="A179:J179"/>
  </mergeCells>
  <phoneticPr fontId="113" type="noConversion"/>
  <pageMargins left="0.5" right="0.5" top="1" bottom="1" header="0.5" footer="0.5"/>
  <pageSetup scale="51" fitToHeight="0" orientation="portrait" r:id="rId1"/>
  <headerFooter alignWithMargins="0">
    <oddHeader>&amp;RFormula Rate 
&amp;A
Page &amp;P of &amp;N</oddHeader>
  </headerFooter>
  <rowBreaks count="2" manualBreakCount="2">
    <brk id="89" max="9" man="1"/>
    <brk id="176" max="9" man="1"/>
  </rowBreaks>
  <ignoredErrors>
    <ignoredError sqref="J60"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L57"/>
  <sheetViews>
    <sheetView tabSelected="1" view="pageBreakPreview" zoomScale="60" zoomScaleNormal="100" workbookViewId="0">
      <selection activeCell="O54" sqref="O54"/>
    </sheetView>
  </sheetViews>
  <sheetFormatPr defaultColWidth="8.85546875" defaultRowHeight="12.75"/>
  <cols>
    <col min="2" max="2" width="23" customWidth="1"/>
    <col min="3" max="3" width="10.5703125" customWidth="1"/>
    <col min="5" max="5" width="22" customWidth="1"/>
    <col min="7" max="7" width="12.7109375" customWidth="1"/>
    <col min="9" max="9" width="18.28515625" customWidth="1"/>
    <col min="10" max="10" width="17" customWidth="1"/>
    <col min="11" max="11" width="5.5703125" customWidth="1"/>
    <col min="12" max="12" width="18.7109375" customWidth="1"/>
  </cols>
  <sheetData>
    <row r="1" spans="2:12" ht="15.75">
      <c r="B1" s="1250" t="s">
        <v>616</v>
      </c>
      <c r="C1" s="1250"/>
      <c r="D1" s="1250"/>
      <c r="E1" s="1250"/>
      <c r="F1" s="1250"/>
      <c r="G1" s="1250"/>
      <c r="H1" s="1250"/>
      <c r="I1" s="1250"/>
      <c r="J1" s="1250"/>
      <c r="K1" s="1250"/>
      <c r="L1" s="1250"/>
    </row>
    <row r="2" spans="2:12" ht="15.75">
      <c r="B2" s="1249" t="s">
        <v>563</v>
      </c>
      <c r="C2" s="1249"/>
      <c r="D2" s="1249"/>
      <c r="E2" s="1249"/>
      <c r="F2" s="1249"/>
      <c r="G2" s="1249"/>
      <c r="H2" s="1249"/>
      <c r="I2" s="1249"/>
      <c r="J2" s="1249"/>
      <c r="K2" s="1249"/>
      <c r="L2" s="1249"/>
    </row>
    <row r="3" spans="2:12" ht="15.75">
      <c r="B3" s="1249" t="s">
        <v>593</v>
      </c>
      <c r="C3" s="1249"/>
      <c r="D3" s="1249"/>
      <c r="E3" s="1249"/>
      <c r="F3" s="1249"/>
      <c r="G3" s="1249"/>
      <c r="H3" s="1249"/>
      <c r="I3" s="1249"/>
      <c r="J3" s="1249"/>
      <c r="K3" s="1249"/>
      <c r="L3" s="1249"/>
    </row>
    <row r="4" spans="2:12" ht="15.75">
      <c r="B4" s="133"/>
      <c r="C4" s="133"/>
      <c r="D4" s="133"/>
      <c r="E4" s="1249"/>
      <c r="F4" s="1249"/>
      <c r="G4" s="1249"/>
      <c r="H4" s="1249"/>
      <c r="I4" s="133"/>
      <c r="J4" s="133"/>
      <c r="K4" s="133"/>
      <c r="L4" s="133"/>
    </row>
    <row r="7" spans="2:12" ht="16.5" thickBot="1">
      <c r="B7" s="658"/>
      <c r="C7" s="659"/>
      <c r="D7" s="659"/>
      <c r="E7" s="659"/>
      <c r="F7" s="659"/>
      <c r="G7" s="659"/>
      <c r="H7" s="659"/>
      <c r="I7" s="659"/>
      <c r="J7" s="659"/>
      <c r="K7" s="659"/>
      <c r="L7" s="659"/>
    </row>
    <row r="8" spans="2:12" ht="47.25">
      <c r="B8" s="660"/>
      <c r="C8" s="659"/>
      <c r="D8" s="659"/>
      <c r="E8" s="660"/>
      <c r="F8" s="659"/>
      <c r="G8" s="659"/>
      <c r="H8" s="133"/>
      <c r="I8" s="660" t="s">
        <v>565</v>
      </c>
      <c r="J8" s="133"/>
      <c r="K8" s="133"/>
      <c r="L8" s="133"/>
    </row>
    <row r="9" spans="2:12" ht="15.75">
      <c r="B9" s="661" t="s">
        <v>414</v>
      </c>
      <c r="C9" s="659"/>
      <c r="D9" s="659"/>
      <c r="E9" s="661"/>
      <c r="F9" s="659"/>
      <c r="G9" s="659"/>
      <c r="H9" s="133"/>
      <c r="I9" s="662"/>
      <c r="J9" s="133"/>
      <c r="K9" s="133"/>
      <c r="L9" s="133"/>
    </row>
    <row r="10" spans="2:12" ht="16.5" thickBot="1">
      <c r="B10" s="657">
        <v>0</v>
      </c>
      <c r="C10" s="663" t="str">
        <f>"-"</f>
        <v>-</v>
      </c>
      <c r="D10" s="664"/>
      <c r="E10" s="657">
        <v>0</v>
      </c>
      <c r="F10" s="665"/>
      <c r="G10" s="666" t="str">
        <f>"="</f>
        <v>=</v>
      </c>
      <c r="H10" s="667"/>
      <c r="I10" s="668">
        <f>IF(B10=0,0,E10-B10)</f>
        <v>0</v>
      </c>
      <c r="J10" s="133"/>
      <c r="K10" s="133"/>
      <c r="L10" s="133"/>
    </row>
    <row r="11" spans="2:12" ht="15.75">
      <c r="B11" s="669"/>
      <c r="C11" s="670"/>
      <c r="D11" s="670"/>
      <c r="E11" s="669"/>
      <c r="F11" s="669"/>
      <c r="G11" s="670"/>
      <c r="H11" s="669"/>
      <c r="I11" s="133"/>
      <c r="J11" s="133"/>
      <c r="K11" s="133"/>
      <c r="L11" s="133"/>
    </row>
    <row r="12" spans="2:12" ht="16.5" thickBot="1">
      <c r="B12" s="671"/>
      <c r="C12" s="672"/>
      <c r="D12" s="672"/>
      <c r="E12" s="671"/>
      <c r="F12" s="671"/>
      <c r="G12" s="672"/>
      <c r="H12" s="671"/>
      <c r="I12" s="673"/>
      <c r="J12" s="673"/>
      <c r="K12" s="673"/>
      <c r="L12" s="673"/>
    </row>
    <row r="13" spans="2:12" ht="15.75">
      <c r="B13" s="674"/>
      <c r="C13" s="670"/>
      <c r="D13" s="670"/>
      <c r="E13" s="669"/>
      <c r="F13" s="669"/>
      <c r="G13" s="670"/>
      <c r="H13" s="669"/>
      <c r="I13" s="133"/>
      <c r="J13" s="133"/>
      <c r="K13" s="133"/>
      <c r="L13" s="133"/>
    </row>
    <row r="14" spans="2:12" ht="47.25">
      <c r="B14" s="675" t="s">
        <v>622</v>
      </c>
      <c r="C14" s="670"/>
      <c r="D14" s="670"/>
      <c r="E14" s="676" t="s">
        <v>566</v>
      </c>
      <c r="F14" s="669"/>
      <c r="G14" s="676" t="s">
        <v>567</v>
      </c>
      <c r="H14" s="677" t="s">
        <v>568</v>
      </c>
      <c r="I14" s="678" t="s">
        <v>569</v>
      </c>
      <c r="J14" s="676" t="s">
        <v>570</v>
      </c>
      <c r="K14" s="679"/>
      <c r="L14" s="676" t="s">
        <v>571</v>
      </c>
    </row>
    <row r="15" spans="2:12" ht="15.75">
      <c r="B15" s="675" t="s">
        <v>824</v>
      </c>
      <c r="C15" s="670"/>
      <c r="D15" s="670"/>
      <c r="E15" s="133"/>
      <c r="F15" s="680"/>
      <c r="G15" s="693"/>
      <c r="I15" s="133"/>
      <c r="J15" s="133"/>
      <c r="K15" s="133"/>
      <c r="L15" s="133"/>
    </row>
    <row r="16" spans="2:12" ht="15.75">
      <c r="B16" s="675"/>
      <c r="C16" s="670"/>
      <c r="D16" s="670"/>
      <c r="E16" s="133"/>
      <c r="F16" s="680"/>
      <c r="G16" s="680"/>
      <c r="H16" s="669"/>
      <c r="I16" s="133"/>
      <c r="J16" s="133"/>
      <c r="K16" s="133"/>
      <c r="L16" s="133"/>
    </row>
    <row r="17" spans="2:12" ht="15.75">
      <c r="B17" s="675"/>
      <c r="C17" s="670"/>
      <c r="D17" s="670"/>
      <c r="E17" s="133"/>
      <c r="F17" s="680"/>
      <c r="G17" s="680"/>
      <c r="H17" s="669"/>
      <c r="I17" s="133"/>
      <c r="J17" s="133"/>
      <c r="K17" s="133"/>
      <c r="L17" s="133"/>
    </row>
    <row r="18" spans="2:12" ht="15.75">
      <c r="B18" s="681" t="s">
        <v>414</v>
      </c>
      <c r="C18" s="670"/>
      <c r="D18" s="670"/>
      <c r="E18" s="670"/>
      <c r="F18" s="670"/>
      <c r="G18" s="670" t="s">
        <v>414</v>
      </c>
      <c r="H18" s="133"/>
      <c r="I18" s="133"/>
      <c r="J18" s="133"/>
      <c r="K18" s="133"/>
      <c r="L18" s="133"/>
    </row>
    <row r="19" spans="2:12" ht="15.75">
      <c r="B19" s="682"/>
      <c r="C19" s="670"/>
      <c r="D19" s="670"/>
      <c r="E19" s="670"/>
      <c r="F19" s="670"/>
      <c r="G19" s="133"/>
      <c r="H19" s="133"/>
      <c r="I19" s="677"/>
      <c r="J19" s="670"/>
      <c r="K19" s="670"/>
      <c r="L19" s="670"/>
    </row>
    <row r="20" spans="2:12" ht="15.75">
      <c r="B20" s="682" t="s">
        <v>572</v>
      </c>
      <c r="C20" s="670"/>
      <c r="D20" s="670"/>
      <c r="E20" s="670"/>
      <c r="F20" s="670"/>
      <c r="G20" s="133"/>
      <c r="H20" s="133"/>
      <c r="I20" s="677" t="s">
        <v>573</v>
      </c>
      <c r="J20" s="670"/>
      <c r="K20" s="670"/>
      <c r="L20" s="670"/>
    </row>
    <row r="21" spans="2:12" ht="15.75">
      <c r="B21" s="659" t="s">
        <v>574</v>
      </c>
      <c r="C21" s="659" t="str">
        <f>"Year 2024"</f>
        <v>Year 2024</v>
      </c>
      <c r="D21" s="659"/>
      <c r="E21" s="683">
        <f>I10/12</f>
        <v>0</v>
      </c>
      <c r="F21" s="683"/>
      <c r="G21" s="684">
        <f>+G15</f>
        <v>0</v>
      </c>
      <c r="H21" s="670">
        <v>12</v>
      </c>
      <c r="I21" s="683">
        <f>G21*E21*H21*-1</f>
        <v>0</v>
      </c>
      <c r="J21" s="683"/>
      <c r="K21" s="683"/>
      <c r="L21" s="683">
        <f>(-I21+E21)*-1</f>
        <v>0</v>
      </c>
    </row>
    <row r="22" spans="2:12" ht="15.75">
      <c r="B22" s="659" t="s">
        <v>575</v>
      </c>
      <c r="C22" s="659" t="str">
        <f>C21</f>
        <v>Year 2024</v>
      </c>
      <c r="D22" s="659"/>
      <c r="E22" s="683">
        <f>+E21</f>
        <v>0</v>
      </c>
      <c r="F22" s="683"/>
      <c r="G22" s="684">
        <f>+G21</f>
        <v>0</v>
      </c>
      <c r="H22" s="670">
        <f t="shared" ref="H22:H32" si="0">+H21-1</f>
        <v>11</v>
      </c>
      <c r="I22" s="683">
        <f t="shared" ref="I22:I32" si="1">G22*E22*H22*-1</f>
        <v>0</v>
      </c>
      <c r="J22" s="683"/>
      <c r="K22" s="683"/>
      <c r="L22" s="683">
        <f t="shared" ref="L22:L32" si="2">(-I22+E22)*-1</f>
        <v>0</v>
      </c>
    </row>
    <row r="23" spans="2:12" ht="15.75">
      <c r="B23" s="659" t="s">
        <v>576</v>
      </c>
      <c r="C23" s="659" t="str">
        <f t="shared" ref="C23:C32" si="3">C22</f>
        <v>Year 2024</v>
      </c>
      <c r="D23" s="659"/>
      <c r="E23" s="683">
        <f t="shared" ref="E23:E32" si="4">+E22</f>
        <v>0</v>
      </c>
      <c r="F23" s="683"/>
      <c r="G23" s="684">
        <f t="shared" ref="G23:G32" si="5">+G22</f>
        <v>0</v>
      </c>
      <c r="H23" s="670">
        <f t="shared" si="0"/>
        <v>10</v>
      </c>
      <c r="I23" s="683">
        <f t="shared" si="1"/>
        <v>0</v>
      </c>
      <c r="J23" s="683"/>
      <c r="K23" s="683"/>
      <c r="L23" s="683">
        <f t="shared" si="2"/>
        <v>0</v>
      </c>
    </row>
    <row r="24" spans="2:12" ht="15.75">
      <c r="B24" s="659" t="s">
        <v>577</v>
      </c>
      <c r="C24" s="659" t="str">
        <f t="shared" si="3"/>
        <v>Year 2024</v>
      </c>
      <c r="D24" s="659"/>
      <c r="E24" s="683">
        <f t="shared" si="4"/>
        <v>0</v>
      </c>
      <c r="F24" s="683"/>
      <c r="G24" s="684">
        <f t="shared" si="5"/>
        <v>0</v>
      </c>
      <c r="H24" s="670">
        <f t="shared" si="0"/>
        <v>9</v>
      </c>
      <c r="I24" s="683">
        <f t="shared" si="1"/>
        <v>0</v>
      </c>
      <c r="J24" s="683"/>
      <c r="K24" s="683"/>
      <c r="L24" s="683">
        <f t="shared" si="2"/>
        <v>0</v>
      </c>
    </row>
    <row r="25" spans="2:12" ht="15.75">
      <c r="B25" s="659" t="s">
        <v>578</v>
      </c>
      <c r="C25" s="659" t="str">
        <f t="shared" si="3"/>
        <v>Year 2024</v>
      </c>
      <c r="D25" s="659"/>
      <c r="E25" s="683">
        <f t="shared" si="4"/>
        <v>0</v>
      </c>
      <c r="F25" s="683"/>
      <c r="G25" s="684">
        <f t="shared" si="5"/>
        <v>0</v>
      </c>
      <c r="H25" s="670">
        <f t="shared" si="0"/>
        <v>8</v>
      </c>
      <c r="I25" s="683">
        <f t="shared" si="1"/>
        <v>0</v>
      </c>
      <c r="J25" s="683"/>
      <c r="K25" s="683"/>
      <c r="L25" s="683">
        <f t="shared" si="2"/>
        <v>0</v>
      </c>
    </row>
    <row r="26" spans="2:12" ht="15.75">
      <c r="B26" s="659" t="s">
        <v>579</v>
      </c>
      <c r="C26" s="659" t="str">
        <f t="shared" si="3"/>
        <v>Year 2024</v>
      </c>
      <c r="D26" s="659"/>
      <c r="E26" s="683">
        <f t="shared" si="4"/>
        <v>0</v>
      </c>
      <c r="F26" s="683"/>
      <c r="G26" s="684">
        <f t="shared" si="5"/>
        <v>0</v>
      </c>
      <c r="H26" s="670">
        <f t="shared" si="0"/>
        <v>7</v>
      </c>
      <c r="I26" s="683">
        <f t="shared" si="1"/>
        <v>0</v>
      </c>
      <c r="J26" s="683"/>
      <c r="K26" s="683"/>
      <c r="L26" s="683">
        <f t="shared" si="2"/>
        <v>0</v>
      </c>
    </row>
    <row r="27" spans="2:12" ht="15.75">
      <c r="B27" s="659" t="s">
        <v>580</v>
      </c>
      <c r="C27" s="659" t="str">
        <f t="shared" si="3"/>
        <v>Year 2024</v>
      </c>
      <c r="D27" s="659"/>
      <c r="E27" s="683">
        <f t="shared" si="4"/>
        <v>0</v>
      </c>
      <c r="F27" s="683"/>
      <c r="G27" s="684">
        <f t="shared" si="5"/>
        <v>0</v>
      </c>
      <c r="H27" s="670">
        <f t="shared" si="0"/>
        <v>6</v>
      </c>
      <c r="I27" s="683">
        <f t="shared" si="1"/>
        <v>0</v>
      </c>
      <c r="J27" s="683"/>
      <c r="K27" s="683"/>
      <c r="L27" s="683">
        <f t="shared" si="2"/>
        <v>0</v>
      </c>
    </row>
    <row r="28" spans="2:12" ht="15.75">
      <c r="B28" s="659" t="s">
        <v>581</v>
      </c>
      <c r="C28" s="659" t="str">
        <f t="shared" si="3"/>
        <v>Year 2024</v>
      </c>
      <c r="D28" s="659"/>
      <c r="E28" s="683">
        <f t="shared" si="4"/>
        <v>0</v>
      </c>
      <c r="F28" s="683"/>
      <c r="G28" s="684">
        <f t="shared" si="5"/>
        <v>0</v>
      </c>
      <c r="H28" s="670">
        <f t="shared" si="0"/>
        <v>5</v>
      </c>
      <c r="I28" s="683">
        <f t="shared" si="1"/>
        <v>0</v>
      </c>
      <c r="J28" s="683"/>
      <c r="K28" s="683"/>
      <c r="L28" s="683">
        <f t="shared" si="2"/>
        <v>0</v>
      </c>
    </row>
    <row r="29" spans="2:12" ht="15.75">
      <c r="B29" s="659" t="s">
        <v>582</v>
      </c>
      <c r="C29" s="659" t="str">
        <f t="shared" si="3"/>
        <v>Year 2024</v>
      </c>
      <c r="D29" s="659"/>
      <c r="E29" s="683">
        <f t="shared" si="4"/>
        <v>0</v>
      </c>
      <c r="F29" s="683"/>
      <c r="G29" s="684">
        <f t="shared" si="5"/>
        <v>0</v>
      </c>
      <c r="H29" s="670">
        <f t="shared" si="0"/>
        <v>4</v>
      </c>
      <c r="I29" s="683">
        <f t="shared" si="1"/>
        <v>0</v>
      </c>
      <c r="J29" s="683"/>
      <c r="K29" s="683"/>
      <c r="L29" s="683">
        <f t="shared" si="2"/>
        <v>0</v>
      </c>
    </row>
    <row r="30" spans="2:12" ht="15.75">
      <c r="B30" s="659" t="s">
        <v>583</v>
      </c>
      <c r="C30" s="659" t="str">
        <f t="shared" si="3"/>
        <v>Year 2024</v>
      </c>
      <c r="D30" s="659"/>
      <c r="E30" s="683">
        <f t="shared" si="4"/>
        <v>0</v>
      </c>
      <c r="F30" s="683"/>
      <c r="G30" s="684">
        <f t="shared" si="5"/>
        <v>0</v>
      </c>
      <c r="H30" s="670">
        <f t="shared" si="0"/>
        <v>3</v>
      </c>
      <c r="I30" s="683">
        <f t="shared" si="1"/>
        <v>0</v>
      </c>
      <c r="J30" s="683"/>
      <c r="K30" s="683"/>
      <c r="L30" s="683">
        <f t="shared" si="2"/>
        <v>0</v>
      </c>
    </row>
    <row r="31" spans="2:12" ht="15.75">
      <c r="B31" s="659" t="s">
        <v>584</v>
      </c>
      <c r="C31" s="659" t="str">
        <f t="shared" si="3"/>
        <v>Year 2024</v>
      </c>
      <c r="D31" s="659"/>
      <c r="E31" s="683">
        <f t="shared" si="4"/>
        <v>0</v>
      </c>
      <c r="F31" s="683"/>
      <c r="G31" s="684">
        <f t="shared" si="5"/>
        <v>0</v>
      </c>
      <c r="H31" s="670">
        <f t="shared" si="0"/>
        <v>2</v>
      </c>
      <c r="I31" s="683">
        <f t="shared" si="1"/>
        <v>0</v>
      </c>
      <c r="J31" s="683"/>
      <c r="K31" s="683"/>
      <c r="L31" s="683">
        <f t="shared" si="2"/>
        <v>0</v>
      </c>
    </row>
    <row r="32" spans="2:12" ht="15.75">
      <c r="B32" s="659" t="s">
        <v>585</v>
      </c>
      <c r="C32" s="659" t="str">
        <f t="shared" si="3"/>
        <v>Year 2024</v>
      </c>
      <c r="D32" s="659"/>
      <c r="E32" s="683">
        <f t="shared" si="4"/>
        <v>0</v>
      </c>
      <c r="F32" s="683"/>
      <c r="G32" s="684">
        <f t="shared" si="5"/>
        <v>0</v>
      </c>
      <c r="H32" s="670">
        <f t="shared" si="0"/>
        <v>1</v>
      </c>
      <c r="I32" s="685">
        <f t="shared" si="1"/>
        <v>0</v>
      </c>
      <c r="J32" s="683"/>
      <c r="K32" s="683"/>
      <c r="L32" s="683">
        <f t="shared" si="2"/>
        <v>0</v>
      </c>
    </row>
    <row r="33" spans="2:12" ht="15.75">
      <c r="B33" s="659"/>
      <c r="C33" s="659"/>
      <c r="D33" s="659"/>
      <c r="E33" s="683"/>
      <c r="F33" s="683"/>
      <c r="G33" s="684"/>
      <c r="H33" s="670"/>
      <c r="I33" s="683">
        <f>SUM(I21:I32)</f>
        <v>0</v>
      </c>
      <c r="J33" s="683"/>
      <c r="K33" s="683"/>
      <c r="L33" s="686">
        <f>SUM(L21:L32)</f>
        <v>0</v>
      </c>
    </row>
    <row r="34" spans="2:12" ht="15.75">
      <c r="B34" s="659"/>
      <c r="C34" s="659"/>
      <c r="D34" s="659"/>
      <c r="E34" s="683"/>
      <c r="F34" s="683"/>
      <c r="G34" s="684"/>
      <c r="H34" s="670"/>
      <c r="I34" s="683"/>
      <c r="J34" s="683" t="s">
        <v>414</v>
      </c>
      <c r="K34" s="683"/>
      <c r="L34" s="133"/>
    </row>
    <row r="35" spans="2:12" ht="15.75">
      <c r="B35" s="659"/>
      <c r="C35" s="659"/>
      <c r="D35" s="659"/>
      <c r="E35" s="669"/>
      <c r="F35" s="669"/>
      <c r="G35" s="684"/>
      <c r="H35" s="670"/>
      <c r="I35" s="687" t="s">
        <v>586</v>
      </c>
      <c r="J35" s="683"/>
      <c r="K35" s="683"/>
      <c r="L35" s="683"/>
    </row>
    <row r="36" spans="2:12" ht="15.75">
      <c r="B36" s="659" t="s">
        <v>587</v>
      </c>
      <c r="C36" s="659" t="str">
        <f>"Year 2025"</f>
        <v>Year 2025</v>
      </c>
      <c r="D36" s="659"/>
      <c r="E36" s="669">
        <f>L33</f>
        <v>0</v>
      </c>
      <c r="F36" s="669"/>
      <c r="G36" s="684">
        <f>+G32</f>
        <v>0</v>
      </c>
      <c r="H36" s="670">
        <v>12</v>
      </c>
      <c r="I36" s="683">
        <f>+H36*G36*E36</f>
        <v>0</v>
      </c>
      <c r="J36" s="683"/>
      <c r="K36" s="683"/>
      <c r="L36" s="686">
        <f>+E36+I36</f>
        <v>0</v>
      </c>
    </row>
    <row r="37" spans="2:12" ht="15.75">
      <c r="B37" s="659"/>
      <c r="C37" s="659"/>
      <c r="D37" s="659"/>
      <c r="E37" s="669"/>
      <c r="F37" s="669"/>
      <c r="G37" s="684"/>
      <c r="H37" s="659"/>
      <c r="I37" s="683"/>
      <c r="J37" s="683"/>
      <c r="K37" s="683"/>
      <c r="L37" s="683"/>
    </row>
    <row r="38" spans="2:12" ht="15.75">
      <c r="B38" s="688" t="s">
        <v>588</v>
      </c>
      <c r="C38" s="659"/>
      <c r="D38" s="659"/>
      <c r="E38" s="683"/>
      <c r="F38" s="683"/>
      <c r="G38" s="684"/>
      <c r="H38" s="659"/>
      <c r="I38" s="687" t="s">
        <v>573</v>
      </c>
      <c r="J38" s="683"/>
      <c r="K38" s="683"/>
      <c r="L38" s="683"/>
    </row>
    <row r="39" spans="2:12" ht="15.75">
      <c r="B39" s="659" t="s">
        <v>574</v>
      </c>
      <c r="C39" s="659" t="str">
        <f>"Year 2026"</f>
        <v>Year 2026</v>
      </c>
      <c r="D39" s="659"/>
      <c r="E39" s="689">
        <f>-L36</f>
        <v>0</v>
      </c>
      <c r="F39" s="669"/>
      <c r="G39" s="684">
        <f>+G32</f>
        <v>0</v>
      </c>
      <c r="H39" s="659"/>
      <c r="I39" s="683">
        <f xml:space="preserve"> -G39*E39</f>
        <v>0</v>
      </c>
      <c r="J39" s="683">
        <f>PMT(G39,12,L$36)</f>
        <v>0</v>
      </c>
      <c r="K39" s="683"/>
      <c r="L39" s="683">
        <f>(+E39+E39*G39-J39)*-1</f>
        <v>0</v>
      </c>
    </row>
    <row r="40" spans="2:12" ht="15.75">
      <c r="B40" s="659" t="s">
        <v>575</v>
      </c>
      <c r="C40" s="659" t="str">
        <f>+C39</f>
        <v>Year 2026</v>
      </c>
      <c r="D40" s="659"/>
      <c r="E40" s="669">
        <f>-L39</f>
        <v>0</v>
      </c>
      <c r="F40" s="669"/>
      <c r="G40" s="684">
        <f>+G39</f>
        <v>0</v>
      </c>
      <c r="H40" s="659"/>
      <c r="I40" s="683">
        <f xml:space="preserve"> -G40*E40</f>
        <v>0</v>
      </c>
      <c r="J40" s="683">
        <f>J39</f>
        <v>0</v>
      </c>
      <c r="K40" s="683"/>
      <c r="L40" s="683">
        <f t="shared" ref="L40:L50" si="6">(+E40+E40*G40-J40)*-1</f>
        <v>0</v>
      </c>
    </row>
    <row r="41" spans="2:12" ht="15.75">
      <c r="B41" s="659" t="s">
        <v>576</v>
      </c>
      <c r="C41" s="659" t="str">
        <f>+C40</f>
        <v>Year 2026</v>
      </c>
      <c r="D41" s="659"/>
      <c r="E41" s="669">
        <f t="shared" ref="E41:E50" si="7">-L40</f>
        <v>0</v>
      </c>
      <c r="F41" s="669"/>
      <c r="G41" s="684">
        <f t="shared" ref="G41:G50" si="8">+G40</f>
        <v>0</v>
      </c>
      <c r="H41" s="659"/>
      <c r="I41" s="683">
        <f t="shared" ref="I41:I50" si="9" xml:space="preserve"> -G41*E41</f>
        <v>0</v>
      </c>
      <c r="J41" s="683">
        <f t="shared" ref="J41:J50" si="10">J40</f>
        <v>0</v>
      </c>
      <c r="K41" s="683"/>
      <c r="L41" s="683">
        <f t="shared" si="6"/>
        <v>0</v>
      </c>
    </row>
    <row r="42" spans="2:12" ht="15.75">
      <c r="B42" s="659" t="s">
        <v>577</v>
      </c>
      <c r="C42" s="659" t="str">
        <f>+C41</f>
        <v>Year 2026</v>
      </c>
      <c r="D42" s="659"/>
      <c r="E42" s="669">
        <f t="shared" si="7"/>
        <v>0</v>
      </c>
      <c r="F42" s="669"/>
      <c r="G42" s="684">
        <f t="shared" si="8"/>
        <v>0</v>
      </c>
      <c r="H42" s="659"/>
      <c r="I42" s="683">
        <f t="shared" si="9"/>
        <v>0</v>
      </c>
      <c r="J42" s="683">
        <f t="shared" si="10"/>
        <v>0</v>
      </c>
      <c r="K42" s="683"/>
      <c r="L42" s="683">
        <f t="shared" si="6"/>
        <v>0</v>
      </c>
    </row>
    <row r="43" spans="2:12" ht="15.75">
      <c r="B43" s="659" t="s">
        <v>578</v>
      </c>
      <c r="C43" s="659" t="str">
        <f>+C42</f>
        <v>Year 2026</v>
      </c>
      <c r="D43" s="659"/>
      <c r="E43" s="669">
        <f t="shared" si="7"/>
        <v>0</v>
      </c>
      <c r="F43" s="669"/>
      <c r="G43" s="684">
        <f t="shared" si="8"/>
        <v>0</v>
      </c>
      <c r="H43" s="659"/>
      <c r="I43" s="683">
        <f t="shared" si="9"/>
        <v>0</v>
      </c>
      <c r="J43" s="683">
        <f>J42</f>
        <v>0</v>
      </c>
      <c r="K43" s="683"/>
      <c r="L43" s="683">
        <f t="shared" si="6"/>
        <v>0</v>
      </c>
    </row>
    <row r="44" spans="2:12" ht="15.75">
      <c r="B44" s="659" t="s">
        <v>579</v>
      </c>
      <c r="C44" s="659" t="str">
        <f>C43</f>
        <v>Year 2026</v>
      </c>
      <c r="D44" s="133"/>
      <c r="E44" s="669">
        <f t="shared" si="7"/>
        <v>0</v>
      </c>
      <c r="F44" s="669"/>
      <c r="G44" s="684">
        <f t="shared" si="8"/>
        <v>0</v>
      </c>
      <c r="H44" s="659"/>
      <c r="I44" s="683">
        <f t="shared" si="9"/>
        <v>0</v>
      </c>
      <c r="J44" s="683">
        <f t="shared" si="10"/>
        <v>0</v>
      </c>
      <c r="K44" s="683"/>
      <c r="L44" s="683">
        <f t="shared" si="6"/>
        <v>0</v>
      </c>
    </row>
    <row r="45" spans="2:12" ht="15.75">
      <c r="B45" s="659" t="s">
        <v>580</v>
      </c>
      <c r="C45" s="659" t="str">
        <f t="shared" ref="C45:C50" si="11">+C44</f>
        <v>Year 2026</v>
      </c>
      <c r="D45" s="659"/>
      <c r="E45" s="669">
        <f t="shared" si="7"/>
        <v>0</v>
      </c>
      <c r="F45" s="669"/>
      <c r="G45" s="684">
        <f t="shared" si="8"/>
        <v>0</v>
      </c>
      <c r="H45" s="659"/>
      <c r="I45" s="683">
        <f t="shared" si="9"/>
        <v>0</v>
      </c>
      <c r="J45" s="683">
        <f t="shared" si="10"/>
        <v>0</v>
      </c>
      <c r="K45" s="683"/>
      <c r="L45" s="683">
        <f t="shared" si="6"/>
        <v>0</v>
      </c>
    </row>
    <row r="46" spans="2:12" ht="15.75">
      <c r="B46" s="659" t="s">
        <v>581</v>
      </c>
      <c r="C46" s="659" t="str">
        <f t="shared" si="11"/>
        <v>Year 2026</v>
      </c>
      <c r="D46" s="659"/>
      <c r="E46" s="669">
        <f t="shared" si="7"/>
        <v>0</v>
      </c>
      <c r="F46" s="669"/>
      <c r="G46" s="684">
        <f t="shared" si="8"/>
        <v>0</v>
      </c>
      <c r="H46" s="659"/>
      <c r="I46" s="683">
        <f t="shared" si="9"/>
        <v>0</v>
      </c>
      <c r="J46" s="683">
        <f t="shared" si="10"/>
        <v>0</v>
      </c>
      <c r="K46" s="683"/>
      <c r="L46" s="683">
        <f t="shared" si="6"/>
        <v>0</v>
      </c>
    </row>
    <row r="47" spans="2:12" ht="15.75">
      <c r="B47" s="659" t="s">
        <v>582</v>
      </c>
      <c r="C47" s="659" t="str">
        <f t="shared" si="11"/>
        <v>Year 2026</v>
      </c>
      <c r="D47" s="659"/>
      <c r="E47" s="669">
        <f t="shared" si="7"/>
        <v>0</v>
      </c>
      <c r="F47" s="669"/>
      <c r="G47" s="684">
        <f t="shared" si="8"/>
        <v>0</v>
      </c>
      <c r="H47" s="659"/>
      <c r="I47" s="683">
        <f t="shared" si="9"/>
        <v>0</v>
      </c>
      <c r="J47" s="683">
        <f>J46</f>
        <v>0</v>
      </c>
      <c r="K47" s="683"/>
      <c r="L47" s="683">
        <f t="shared" si="6"/>
        <v>0</v>
      </c>
    </row>
    <row r="48" spans="2:12" ht="15.75">
      <c r="B48" s="659" t="s">
        <v>583</v>
      </c>
      <c r="C48" s="659" t="str">
        <f t="shared" si="11"/>
        <v>Year 2026</v>
      </c>
      <c r="D48" s="659"/>
      <c r="E48" s="669">
        <f t="shared" si="7"/>
        <v>0</v>
      </c>
      <c r="F48" s="669"/>
      <c r="G48" s="684">
        <f t="shared" si="8"/>
        <v>0</v>
      </c>
      <c r="H48" s="659"/>
      <c r="I48" s="683">
        <f t="shared" si="9"/>
        <v>0</v>
      </c>
      <c r="J48" s="683">
        <f t="shared" si="10"/>
        <v>0</v>
      </c>
      <c r="K48" s="683"/>
      <c r="L48" s="683">
        <f t="shared" si="6"/>
        <v>0</v>
      </c>
    </row>
    <row r="49" spans="2:12" ht="15.75">
      <c r="B49" s="659" t="s">
        <v>584</v>
      </c>
      <c r="C49" s="659" t="str">
        <f t="shared" si="11"/>
        <v>Year 2026</v>
      </c>
      <c r="D49" s="659"/>
      <c r="E49" s="669">
        <f t="shared" si="7"/>
        <v>0</v>
      </c>
      <c r="F49" s="669"/>
      <c r="G49" s="684">
        <f t="shared" si="8"/>
        <v>0</v>
      </c>
      <c r="H49" s="659"/>
      <c r="I49" s="683">
        <f t="shared" si="9"/>
        <v>0</v>
      </c>
      <c r="J49" s="683">
        <f t="shared" si="10"/>
        <v>0</v>
      </c>
      <c r="K49" s="683"/>
      <c r="L49" s="683">
        <f t="shared" si="6"/>
        <v>0</v>
      </c>
    </row>
    <row r="50" spans="2:12" ht="15.75">
      <c r="B50" s="659" t="s">
        <v>585</v>
      </c>
      <c r="C50" s="659" t="str">
        <f t="shared" si="11"/>
        <v>Year 2026</v>
      </c>
      <c r="D50" s="659"/>
      <c r="E50" s="669">
        <f t="shared" si="7"/>
        <v>0</v>
      </c>
      <c r="F50" s="669"/>
      <c r="G50" s="684">
        <f t="shared" si="8"/>
        <v>0</v>
      </c>
      <c r="H50" s="659"/>
      <c r="I50" s="685">
        <f t="shared" si="9"/>
        <v>0</v>
      </c>
      <c r="J50" s="683">
        <f t="shared" si="10"/>
        <v>0</v>
      </c>
      <c r="K50" s="683"/>
      <c r="L50" s="683">
        <f t="shared" si="6"/>
        <v>0</v>
      </c>
    </row>
    <row r="51" spans="2:12" ht="15.75">
      <c r="B51" s="659"/>
      <c r="C51" s="659"/>
      <c r="D51" s="659"/>
      <c r="E51" s="669"/>
      <c r="F51" s="669"/>
      <c r="G51" s="684"/>
      <c r="H51" s="659"/>
      <c r="I51" s="683">
        <f>SUM(I39:I50)</f>
        <v>0</v>
      </c>
      <c r="J51" s="683"/>
      <c r="K51" s="683"/>
      <c r="L51" s="683"/>
    </row>
    <row r="52" spans="2:12" ht="15">
      <c r="B52" s="133"/>
      <c r="C52" s="133"/>
      <c r="D52" s="133"/>
      <c r="E52" s="133"/>
      <c r="F52" s="133"/>
      <c r="G52" s="133"/>
      <c r="H52" s="133"/>
      <c r="I52" s="133"/>
      <c r="J52" s="690"/>
      <c r="K52" s="133"/>
      <c r="L52" s="133"/>
    </row>
    <row r="53" spans="2:12" ht="15.75">
      <c r="B53" s="659" t="s">
        <v>589</v>
      </c>
      <c r="C53" s="133"/>
      <c r="D53" s="133"/>
      <c r="E53" s="133"/>
      <c r="F53" s="133"/>
      <c r="G53" s="133"/>
      <c r="H53" s="133"/>
      <c r="I53" s="133"/>
      <c r="J53" s="691">
        <f>(SUM(J39:J50)*-1)</f>
        <v>0</v>
      </c>
      <c r="K53" s="133"/>
      <c r="L53" s="133"/>
    </row>
    <row r="54" spans="2:12" ht="15.75">
      <c r="B54" s="659" t="s">
        <v>590</v>
      </c>
      <c r="C54" s="133"/>
      <c r="D54" s="133"/>
      <c r="E54" s="133"/>
      <c r="F54" s="133"/>
      <c r="G54" s="133"/>
      <c r="H54" s="133"/>
      <c r="I54" s="133"/>
      <c r="J54" s="692">
        <f>+I10</f>
        <v>0</v>
      </c>
      <c r="K54" s="133"/>
      <c r="L54" s="133"/>
    </row>
    <row r="55" spans="2:12" ht="15.75">
      <c r="B55" s="659" t="s">
        <v>591</v>
      </c>
      <c r="C55" s="133"/>
      <c r="D55" s="133"/>
      <c r="E55" s="133"/>
      <c r="F55" s="133"/>
      <c r="G55" s="133"/>
      <c r="H55" s="133"/>
      <c r="I55" s="133"/>
      <c r="J55" s="691">
        <f>(J53+J54)</f>
        <v>0</v>
      </c>
      <c r="K55" s="133"/>
      <c r="L55" s="133"/>
    </row>
    <row r="57" spans="2:12" ht="52.9" customHeight="1">
      <c r="B57" s="1251" t="s">
        <v>592</v>
      </c>
      <c r="C57" s="1251"/>
      <c r="D57" s="1251"/>
      <c r="E57" s="1251"/>
      <c r="F57" s="1251"/>
      <c r="G57" s="1251"/>
      <c r="H57" s="1251"/>
      <c r="I57" s="1251"/>
      <c r="J57" s="1251"/>
      <c r="K57" s="960"/>
      <c r="L57" s="960"/>
    </row>
  </sheetData>
  <mergeCells count="5">
    <mergeCell ref="B3:L3"/>
    <mergeCell ref="B1:L1"/>
    <mergeCell ref="B2:L2"/>
    <mergeCell ref="E4:H4"/>
    <mergeCell ref="B57:J57"/>
  </mergeCells>
  <pageMargins left="0.7" right="0.7" top="0.75" bottom="0.75" header="0.3" footer="0.3"/>
  <pageSetup scale="5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L57"/>
  <sheetViews>
    <sheetView tabSelected="1" view="pageBreakPreview" topLeftCell="A25" zoomScale="60" zoomScaleNormal="100" workbookViewId="0">
      <selection activeCell="O54" sqref="O54"/>
    </sheetView>
  </sheetViews>
  <sheetFormatPr defaultRowHeight="12.75"/>
  <cols>
    <col min="2" max="2" width="30.140625" customWidth="1"/>
    <col min="5" max="5" width="24.140625" customWidth="1"/>
    <col min="7" max="7" width="14.85546875" customWidth="1"/>
    <col min="9" max="9" width="22.28515625" customWidth="1"/>
    <col min="10" max="10" width="18" customWidth="1"/>
    <col min="12" max="12" width="18.42578125" customWidth="1"/>
  </cols>
  <sheetData>
    <row r="1" spans="2:12" ht="15.75">
      <c r="B1" s="1250" t="s">
        <v>616</v>
      </c>
      <c r="C1" s="1250"/>
      <c r="D1" s="1250"/>
      <c r="E1" s="1250"/>
      <c r="F1" s="1250"/>
      <c r="G1" s="1250"/>
      <c r="H1" s="1250"/>
      <c r="I1" s="1250"/>
      <c r="J1" s="1250"/>
      <c r="K1" s="1250"/>
      <c r="L1" s="1250"/>
    </row>
    <row r="2" spans="2:12" ht="15.75">
      <c r="B2" s="1249" t="s">
        <v>563</v>
      </c>
      <c r="C2" s="1249"/>
      <c r="D2" s="1249"/>
      <c r="E2" s="1249"/>
      <c r="F2" s="1249"/>
      <c r="G2" s="1249"/>
      <c r="H2" s="1249"/>
      <c r="I2" s="1249"/>
      <c r="J2" s="1249"/>
      <c r="K2" s="1249"/>
      <c r="L2" s="1249"/>
    </row>
    <row r="3" spans="2:12" ht="15.75">
      <c r="B3" s="1249" t="s">
        <v>593</v>
      </c>
      <c r="C3" s="1249"/>
      <c r="D3" s="1249"/>
      <c r="E3" s="1249"/>
      <c r="F3" s="1249"/>
      <c r="G3" s="1249"/>
      <c r="H3" s="1249"/>
      <c r="I3" s="1249"/>
      <c r="J3" s="1249"/>
      <c r="K3" s="1249"/>
      <c r="L3" s="1249"/>
    </row>
    <row r="4" spans="2:12" ht="15.75">
      <c r="B4" s="133"/>
      <c r="C4" s="133"/>
      <c r="D4" s="133"/>
      <c r="E4" s="1249"/>
      <c r="F4" s="1249"/>
      <c r="G4" s="1249"/>
      <c r="H4" s="1249"/>
      <c r="I4" s="133"/>
      <c r="J4" s="133"/>
      <c r="K4" s="133"/>
      <c r="L4" s="133"/>
    </row>
    <row r="7" spans="2:12" ht="16.5" thickBot="1">
      <c r="B7" s="658"/>
      <c r="C7" s="659"/>
      <c r="D7" s="659"/>
      <c r="E7" s="659"/>
      <c r="F7" s="659"/>
      <c r="G7" s="659"/>
      <c r="H7" s="659"/>
      <c r="I7" s="659"/>
      <c r="J7" s="659"/>
      <c r="K7" s="659"/>
      <c r="L7" s="659"/>
    </row>
    <row r="8" spans="2:12" ht="31.5">
      <c r="B8" s="660"/>
      <c r="C8" s="659"/>
      <c r="D8" s="659"/>
      <c r="E8" s="660"/>
      <c r="F8" s="659"/>
      <c r="G8" s="659"/>
      <c r="H8" s="133"/>
      <c r="I8" s="660" t="s">
        <v>565</v>
      </c>
      <c r="J8" s="133"/>
      <c r="K8" s="133"/>
      <c r="L8" s="133"/>
    </row>
    <row r="9" spans="2:12" ht="15.75">
      <c r="B9" s="661" t="s">
        <v>414</v>
      </c>
      <c r="C9" s="659"/>
      <c r="D9" s="659"/>
      <c r="E9" s="661"/>
      <c r="F9" s="659"/>
      <c r="G9" s="659"/>
      <c r="H9" s="133"/>
      <c r="I9" s="662"/>
      <c r="J9" s="133"/>
      <c r="K9" s="133"/>
      <c r="L9" s="133"/>
    </row>
    <row r="10" spans="2:12" ht="16.5" thickBot="1">
      <c r="B10" s="657">
        <v>0</v>
      </c>
      <c r="C10" s="663" t="str">
        <f>"-"</f>
        <v>-</v>
      </c>
      <c r="D10" s="664"/>
      <c r="E10" s="657">
        <v>0</v>
      </c>
      <c r="F10" s="665"/>
      <c r="G10" s="666" t="str">
        <f>"="</f>
        <v>=</v>
      </c>
      <c r="H10" s="667"/>
      <c r="I10" s="668">
        <f>IF(B10=0,0,E10-B10)</f>
        <v>0</v>
      </c>
      <c r="J10" s="133"/>
      <c r="K10" s="133"/>
      <c r="L10" s="133"/>
    </row>
    <row r="11" spans="2:12" ht="15.75">
      <c r="B11" s="669"/>
      <c r="C11" s="670"/>
      <c r="D11" s="670"/>
      <c r="E11" s="669"/>
      <c r="F11" s="669"/>
      <c r="G11" s="670"/>
      <c r="H11" s="669"/>
      <c r="I11" s="133"/>
      <c r="J11" s="133"/>
      <c r="K11" s="133"/>
      <c r="L11" s="133"/>
    </row>
    <row r="12" spans="2:12" ht="16.5" thickBot="1">
      <c r="B12" s="671"/>
      <c r="C12" s="672"/>
      <c r="D12" s="672"/>
      <c r="E12" s="671"/>
      <c r="F12" s="671"/>
      <c r="G12" s="672"/>
      <c r="H12" s="671"/>
      <c r="I12" s="673"/>
      <c r="J12" s="673"/>
      <c r="K12" s="673"/>
      <c r="L12" s="673"/>
    </row>
    <row r="13" spans="2:12" ht="15.75">
      <c r="B13" s="674"/>
      <c r="C13" s="670"/>
      <c r="D13" s="670"/>
      <c r="E13" s="669"/>
      <c r="F13" s="669"/>
      <c r="G13" s="670"/>
      <c r="H13" s="669"/>
      <c r="I13" s="133"/>
      <c r="J13" s="133"/>
      <c r="K13" s="133"/>
      <c r="L13" s="133"/>
    </row>
    <row r="14" spans="2:12" ht="47.25">
      <c r="B14" s="675" t="s">
        <v>622</v>
      </c>
      <c r="C14" s="670"/>
      <c r="D14" s="670"/>
      <c r="E14" s="676" t="s">
        <v>566</v>
      </c>
      <c r="F14" s="669"/>
      <c r="G14" s="676" t="s">
        <v>567</v>
      </c>
      <c r="H14" s="677" t="s">
        <v>568</v>
      </c>
      <c r="I14" s="678" t="s">
        <v>569</v>
      </c>
      <c r="J14" s="676" t="s">
        <v>570</v>
      </c>
      <c r="K14" s="679"/>
      <c r="L14" s="676" t="s">
        <v>571</v>
      </c>
    </row>
    <row r="15" spans="2:12" ht="15.75">
      <c r="B15" s="675" t="s">
        <v>824</v>
      </c>
      <c r="C15" s="670"/>
      <c r="D15" s="670"/>
      <c r="E15" s="133"/>
      <c r="F15" s="680"/>
      <c r="G15" s="693">
        <f>'WS R Interest'!G15</f>
        <v>0</v>
      </c>
      <c r="I15" s="133"/>
      <c r="J15" s="133"/>
      <c r="K15" s="133"/>
      <c r="L15" s="133"/>
    </row>
    <row r="16" spans="2:12" ht="15.75">
      <c r="B16" s="675"/>
      <c r="C16" s="670"/>
      <c r="D16" s="670"/>
      <c r="E16" s="133"/>
      <c r="F16" s="680"/>
      <c r="G16" s="680"/>
      <c r="H16" s="669"/>
      <c r="I16" s="133"/>
      <c r="J16" s="133"/>
      <c r="K16" s="133"/>
      <c r="L16" s="133"/>
    </row>
    <row r="17" spans="2:12" ht="15.75">
      <c r="B17" s="675"/>
      <c r="C17" s="670"/>
      <c r="D17" s="670"/>
      <c r="E17" s="133"/>
      <c r="F17" s="680"/>
      <c r="G17" s="680"/>
      <c r="H17" s="669"/>
      <c r="I17" s="133"/>
      <c r="J17" s="133"/>
      <c r="K17" s="133"/>
      <c r="L17" s="133"/>
    </row>
    <row r="18" spans="2:12" ht="15.75">
      <c r="B18" s="681" t="s">
        <v>414</v>
      </c>
      <c r="C18" s="670"/>
      <c r="D18" s="670"/>
      <c r="E18" s="670"/>
      <c r="F18" s="670"/>
      <c r="G18" s="670" t="s">
        <v>414</v>
      </c>
      <c r="H18" s="133"/>
      <c r="I18" s="133"/>
      <c r="J18" s="133"/>
      <c r="K18" s="133"/>
      <c r="L18" s="133"/>
    </row>
    <row r="19" spans="2:12" ht="15.75">
      <c r="B19" s="682"/>
      <c r="C19" s="670"/>
      <c r="D19" s="670"/>
      <c r="E19" s="670"/>
      <c r="F19" s="670"/>
      <c r="G19" s="133"/>
      <c r="H19" s="133"/>
      <c r="I19" s="677"/>
      <c r="J19" s="670"/>
      <c r="K19" s="670"/>
      <c r="L19" s="670"/>
    </row>
    <row r="20" spans="2:12" ht="15.75">
      <c r="B20" s="682" t="s">
        <v>572</v>
      </c>
      <c r="C20" s="670"/>
      <c r="D20" s="670"/>
      <c r="E20" s="670"/>
      <c r="F20" s="670"/>
      <c r="G20" s="133"/>
      <c r="H20" s="133"/>
      <c r="I20" s="677" t="s">
        <v>573</v>
      </c>
      <c r="J20" s="670"/>
      <c r="K20" s="670"/>
      <c r="L20" s="670"/>
    </row>
    <row r="21" spans="2:12" ht="15.75">
      <c r="B21" s="659" t="s">
        <v>574</v>
      </c>
      <c r="C21" s="659" t="str">
        <f>"Year 2024"</f>
        <v>Year 2024</v>
      </c>
      <c r="D21" s="659"/>
      <c r="E21" s="683">
        <f>I10/12</f>
        <v>0</v>
      </c>
      <c r="F21" s="683"/>
      <c r="G21" s="684">
        <f>+G15</f>
        <v>0</v>
      </c>
      <c r="H21" s="670">
        <v>12</v>
      </c>
      <c r="I21" s="683">
        <f>G21*E21*H21*-1</f>
        <v>0</v>
      </c>
      <c r="J21" s="683"/>
      <c r="K21" s="683"/>
      <c r="L21" s="683">
        <f>(-I21+E21)*-1</f>
        <v>0</v>
      </c>
    </row>
    <row r="22" spans="2:12" ht="15.75">
      <c r="B22" s="659" t="s">
        <v>575</v>
      </c>
      <c r="C22" s="659" t="str">
        <f>C21</f>
        <v>Year 2024</v>
      </c>
      <c r="D22" s="659"/>
      <c r="E22" s="683">
        <f>+E21</f>
        <v>0</v>
      </c>
      <c r="F22" s="683"/>
      <c r="G22" s="684">
        <f>+G21</f>
        <v>0</v>
      </c>
      <c r="H22" s="670">
        <f t="shared" ref="H22:H32" si="0">+H21-1</f>
        <v>11</v>
      </c>
      <c r="I22" s="683">
        <f t="shared" ref="I22:I32" si="1">G22*E22*H22*-1</f>
        <v>0</v>
      </c>
      <c r="J22" s="683"/>
      <c r="K22" s="683"/>
      <c r="L22" s="683">
        <f t="shared" ref="L22:L32" si="2">(-I22+E22)*-1</f>
        <v>0</v>
      </c>
    </row>
    <row r="23" spans="2:12" ht="15.75">
      <c r="B23" s="659" t="s">
        <v>576</v>
      </c>
      <c r="C23" s="659" t="str">
        <f t="shared" ref="C23:C32" si="3">C22</f>
        <v>Year 2024</v>
      </c>
      <c r="D23" s="659"/>
      <c r="E23" s="683">
        <f t="shared" ref="E23:E32" si="4">+E22</f>
        <v>0</v>
      </c>
      <c r="F23" s="683"/>
      <c r="G23" s="684">
        <f t="shared" ref="G23:G32" si="5">+G22</f>
        <v>0</v>
      </c>
      <c r="H23" s="670">
        <f t="shared" si="0"/>
        <v>10</v>
      </c>
      <c r="I23" s="683">
        <f t="shared" si="1"/>
        <v>0</v>
      </c>
      <c r="J23" s="683"/>
      <c r="K23" s="683"/>
      <c r="L23" s="683">
        <f t="shared" si="2"/>
        <v>0</v>
      </c>
    </row>
    <row r="24" spans="2:12" ht="15.75">
      <c r="B24" s="659" t="s">
        <v>577</v>
      </c>
      <c r="C24" s="659" t="str">
        <f t="shared" si="3"/>
        <v>Year 2024</v>
      </c>
      <c r="D24" s="659"/>
      <c r="E24" s="683">
        <f t="shared" si="4"/>
        <v>0</v>
      </c>
      <c r="F24" s="683"/>
      <c r="G24" s="684">
        <f t="shared" si="5"/>
        <v>0</v>
      </c>
      <c r="H24" s="670">
        <f t="shared" si="0"/>
        <v>9</v>
      </c>
      <c r="I24" s="683">
        <f t="shared" si="1"/>
        <v>0</v>
      </c>
      <c r="J24" s="683"/>
      <c r="K24" s="683"/>
      <c r="L24" s="683">
        <f t="shared" si="2"/>
        <v>0</v>
      </c>
    </row>
    <row r="25" spans="2:12" ht="15.75">
      <c r="B25" s="659" t="s">
        <v>578</v>
      </c>
      <c r="C25" s="659" t="str">
        <f t="shared" si="3"/>
        <v>Year 2024</v>
      </c>
      <c r="D25" s="659"/>
      <c r="E25" s="683">
        <f t="shared" si="4"/>
        <v>0</v>
      </c>
      <c r="F25" s="683"/>
      <c r="G25" s="684">
        <f t="shared" si="5"/>
        <v>0</v>
      </c>
      <c r="H25" s="670">
        <f t="shared" si="0"/>
        <v>8</v>
      </c>
      <c r="I25" s="683">
        <f t="shared" si="1"/>
        <v>0</v>
      </c>
      <c r="J25" s="683"/>
      <c r="K25" s="683"/>
      <c r="L25" s="683">
        <f t="shared" si="2"/>
        <v>0</v>
      </c>
    </row>
    <row r="26" spans="2:12" ht="15.75">
      <c r="B26" s="659" t="s">
        <v>579</v>
      </c>
      <c r="C26" s="659" t="str">
        <f t="shared" si="3"/>
        <v>Year 2024</v>
      </c>
      <c r="D26" s="659"/>
      <c r="E26" s="683">
        <f t="shared" si="4"/>
        <v>0</v>
      </c>
      <c r="F26" s="683"/>
      <c r="G26" s="684">
        <f t="shared" si="5"/>
        <v>0</v>
      </c>
      <c r="H26" s="670">
        <f t="shared" si="0"/>
        <v>7</v>
      </c>
      <c r="I26" s="683">
        <f t="shared" si="1"/>
        <v>0</v>
      </c>
      <c r="J26" s="683"/>
      <c r="K26" s="683"/>
      <c r="L26" s="683">
        <f t="shared" si="2"/>
        <v>0</v>
      </c>
    </row>
    <row r="27" spans="2:12" ht="15.75">
      <c r="B27" s="659" t="s">
        <v>580</v>
      </c>
      <c r="C27" s="659" t="str">
        <f t="shared" si="3"/>
        <v>Year 2024</v>
      </c>
      <c r="D27" s="659"/>
      <c r="E27" s="683">
        <f t="shared" si="4"/>
        <v>0</v>
      </c>
      <c r="F27" s="683"/>
      <c r="G27" s="684">
        <f t="shared" si="5"/>
        <v>0</v>
      </c>
      <c r="H27" s="670">
        <f t="shared" si="0"/>
        <v>6</v>
      </c>
      <c r="I27" s="683">
        <f t="shared" si="1"/>
        <v>0</v>
      </c>
      <c r="J27" s="683"/>
      <c r="K27" s="683"/>
      <c r="L27" s="683">
        <f t="shared" si="2"/>
        <v>0</v>
      </c>
    </row>
    <row r="28" spans="2:12" ht="15.75">
      <c r="B28" s="659" t="s">
        <v>581</v>
      </c>
      <c r="C28" s="659" t="str">
        <f t="shared" si="3"/>
        <v>Year 2024</v>
      </c>
      <c r="D28" s="659"/>
      <c r="E28" s="683">
        <f t="shared" si="4"/>
        <v>0</v>
      </c>
      <c r="F28" s="683"/>
      <c r="G28" s="684">
        <f t="shared" si="5"/>
        <v>0</v>
      </c>
      <c r="H28" s="670">
        <f t="shared" si="0"/>
        <v>5</v>
      </c>
      <c r="I28" s="683">
        <f t="shared" si="1"/>
        <v>0</v>
      </c>
      <c r="J28" s="683"/>
      <c r="K28" s="683"/>
      <c r="L28" s="683">
        <f t="shared" si="2"/>
        <v>0</v>
      </c>
    </row>
    <row r="29" spans="2:12" ht="15.75">
      <c r="B29" s="659" t="s">
        <v>582</v>
      </c>
      <c r="C29" s="659" t="str">
        <f t="shared" si="3"/>
        <v>Year 2024</v>
      </c>
      <c r="D29" s="659"/>
      <c r="E29" s="683">
        <f t="shared" si="4"/>
        <v>0</v>
      </c>
      <c r="F29" s="683"/>
      <c r="G29" s="684">
        <f t="shared" si="5"/>
        <v>0</v>
      </c>
      <c r="H29" s="670">
        <f t="shared" si="0"/>
        <v>4</v>
      </c>
      <c r="I29" s="683">
        <f t="shared" si="1"/>
        <v>0</v>
      </c>
      <c r="J29" s="683"/>
      <c r="K29" s="683"/>
      <c r="L29" s="683">
        <f t="shared" si="2"/>
        <v>0</v>
      </c>
    </row>
    <row r="30" spans="2:12" ht="15.75">
      <c r="B30" s="659" t="s">
        <v>583</v>
      </c>
      <c r="C30" s="659" t="str">
        <f t="shared" si="3"/>
        <v>Year 2024</v>
      </c>
      <c r="D30" s="659"/>
      <c r="E30" s="683">
        <f t="shared" si="4"/>
        <v>0</v>
      </c>
      <c r="F30" s="683"/>
      <c r="G30" s="684">
        <f t="shared" si="5"/>
        <v>0</v>
      </c>
      <c r="H30" s="670">
        <f t="shared" si="0"/>
        <v>3</v>
      </c>
      <c r="I30" s="683">
        <f t="shared" si="1"/>
        <v>0</v>
      </c>
      <c r="J30" s="683"/>
      <c r="K30" s="683"/>
      <c r="L30" s="683">
        <f t="shared" si="2"/>
        <v>0</v>
      </c>
    </row>
    <row r="31" spans="2:12" ht="15.75">
      <c r="B31" s="659" t="s">
        <v>584</v>
      </c>
      <c r="C31" s="659" t="str">
        <f t="shared" si="3"/>
        <v>Year 2024</v>
      </c>
      <c r="D31" s="659"/>
      <c r="E31" s="683">
        <f t="shared" si="4"/>
        <v>0</v>
      </c>
      <c r="F31" s="683"/>
      <c r="G31" s="684">
        <f t="shared" si="5"/>
        <v>0</v>
      </c>
      <c r="H31" s="670">
        <f t="shared" si="0"/>
        <v>2</v>
      </c>
      <c r="I31" s="683">
        <f t="shared" si="1"/>
        <v>0</v>
      </c>
      <c r="J31" s="683"/>
      <c r="K31" s="683"/>
      <c r="L31" s="683">
        <f t="shared" si="2"/>
        <v>0</v>
      </c>
    </row>
    <row r="32" spans="2:12" ht="15.75">
      <c r="B32" s="659" t="s">
        <v>585</v>
      </c>
      <c r="C32" s="659" t="str">
        <f t="shared" si="3"/>
        <v>Year 2024</v>
      </c>
      <c r="D32" s="659"/>
      <c r="E32" s="683">
        <f t="shared" si="4"/>
        <v>0</v>
      </c>
      <c r="F32" s="683"/>
      <c r="G32" s="684">
        <f t="shared" si="5"/>
        <v>0</v>
      </c>
      <c r="H32" s="670">
        <f t="shared" si="0"/>
        <v>1</v>
      </c>
      <c r="I32" s="685">
        <f t="shared" si="1"/>
        <v>0</v>
      </c>
      <c r="J32" s="683"/>
      <c r="K32" s="683"/>
      <c r="L32" s="683">
        <f t="shared" si="2"/>
        <v>0</v>
      </c>
    </row>
    <row r="33" spans="2:12" ht="15.75">
      <c r="B33" s="659"/>
      <c r="C33" s="659"/>
      <c r="D33" s="659"/>
      <c r="E33" s="683"/>
      <c r="F33" s="683"/>
      <c r="G33" s="684"/>
      <c r="H33" s="670"/>
      <c r="I33" s="683">
        <f>SUM(I21:I32)</f>
        <v>0</v>
      </c>
      <c r="J33" s="683"/>
      <c r="K33" s="683"/>
      <c r="L33" s="686">
        <f>SUM(L21:L32)</f>
        <v>0</v>
      </c>
    </row>
    <row r="34" spans="2:12" ht="15.75">
      <c r="B34" s="659"/>
      <c r="C34" s="659"/>
      <c r="D34" s="659"/>
      <c r="E34" s="683"/>
      <c r="F34" s="683"/>
      <c r="G34" s="684"/>
      <c r="H34" s="670"/>
      <c r="I34" s="683"/>
      <c r="J34" s="683" t="s">
        <v>414</v>
      </c>
      <c r="K34" s="683"/>
      <c r="L34" s="133"/>
    </row>
    <row r="35" spans="2:12" ht="15.75">
      <c r="B35" s="659"/>
      <c r="C35" s="659"/>
      <c r="D35" s="659"/>
      <c r="E35" s="669"/>
      <c r="F35" s="669"/>
      <c r="G35" s="684"/>
      <c r="H35" s="670"/>
      <c r="I35" s="687" t="s">
        <v>586</v>
      </c>
      <c r="J35" s="683"/>
      <c r="K35" s="683"/>
      <c r="L35" s="683"/>
    </row>
    <row r="36" spans="2:12" ht="15.75">
      <c r="B36" s="659" t="s">
        <v>587</v>
      </c>
      <c r="C36" s="659" t="str">
        <f>"Year 2025"</f>
        <v>Year 2025</v>
      </c>
      <c r="D36" s="659"/>
      <c r="E36" s="669">
        <f>L33</f>
        <v>0</v>
      </c>
      <c r="F36" s="669"/>
      <c r="G36" s="684">
        <f>+G32</f>
        <v>0</v>
      </c>
      <c r="H36" s="670">
        <v>12</v>
      </c>
      <c r="I36" s="683">
        <f>+H36*G36*E36</f>
        <v>0</v>
      </c>
      <c r="J36" s="683"/>
      <c r="K36" s="683"/>
      <c r="L36" s="686">
        <f>+E36+I36</f>
        <v>0</v>
      </c>
    </row>
    <row r="37" spans="2:12" ht="15.75">
      <c r="B37" s="659"/>
      <c r="C37" s="659"/>
      <c r="D37" s="659"/>
      <c r="E37" s="669"/>
      <c r="F37" s="669"/>
      <c r="G37" s="684"/>
      <c r="H37" s="659"/>
      <c r="I37" s="683"/>
      <c r="J37" s="683"/>
      <c r="K37" s="683"/>
      <c r="L37" s="683"/>
    </row>
    <row r="38" spans="2:12" ht="15.75">
      <c r="B38" s="688" t="s">
        <v>588</v>
      </c>
      <c r="C38" s="659"/>
      <c r="D38" s="659"/>
      <c r="E38" s="683"/>
      <c r="F38" s="683"/>
      <c r="G38" s="684"/>
      <c r="H38" s="659"/>
      <c r="I38" s="687" t="s">
        <v>573</v>
      </c>
      <c r="J38" s="683"/>
      <c r="K38" s="683"/>
      <c r="L38" s="683"/>
    </row>
    <row r="39" spans="2:12" ht="15.75">
      <c r="B39" s="659" t="s">
        <v>574</v>
      </c>
      <c r="C39" s="659" t="str">
        <f>"Year 2026"</f>
        <v>Year 2026</v>
      </c>
      <c r="D39" s="659"/>
      <c r="E39" s="689">
        <f>-L36</f>
        <v>0</v>
      </c>
      <c r="F39" s="669"/>
      <c r="G39" s="684">
        <f>+G32</f>
        <v>0</v>
      </c>
      <c r="H39" s="659"/>
      <c r="I39" s="683">
        <f xml:space="preserve"> -G39*E39</f>
        <v>0</v>
      </c>
      <c r="J39" s="683">
        <f>PMT(G39,12,L$36)</f>
        <v>0</v>
      </c>
      <c r="K39" s="683"/>
      <c r="L39" s="683">
        <f>(+E39+E39*G39-J39)*-1</f>
        <v>0</v>
      </c>
    </row>
    <row r="40" spans="2:12" ht="15.75">
      <c r="B40" s="659" t="s">
        <v>575</v>
      </c>
      <c r="C40" s="659" t="str">
        <f>+C39</f>
        <v>Year 2026</v>
      </c>
      <c r="D40" s="659"/>
      <c r="E40" s="669">
        <f>-L39</f>
        <v>0</v>
      </c>
      <c r="F40" s="669"/>
      <c r="G40" s="684">
        <f>+G39</f>
        <v>0</v>
      </c>
      <c r="H40" s="659"/>
      <c r="I40" s="683">
        <f xml:space="preserve"> -G40*E40</f>
        <v>0</v>
      </c>
      <c r="J40" s="683">
        <f>J39</f>
        <v>0</v>
      </c>
      <c r="K40" s="683"/>
      <c r="L40" s="683">
        <f t="shared" ref="L40:L50" si="6">(+E40+E40*G40-J40)*-1</f>
        <v>0</v>
      </c>
    </row>
    <row r="41" spans="2:12" ht="15.75">
      <c r="B41" s="659" t="s">
        <v>576</v>
      </c>
      <c r="C41" s="659" t="str">
        <f>+C40</f>
        <v>Year 2026</v>
      </c>
      <c r="D41" s="659"/>
      <c r="E41" s="669">
        <f t="shared" ref="E41:E50" si="7">-L40</f>
        <v>0</v>
      </c>
      <c r="F41" s="669"/>
      <c r="G41" s="684">
        <f t="shared" ref="G41:G50" si="8">+G40</f>
        <v>0</v>
      </c>
      <c r="H41" s="659"/>
      <c r="I41" s="683">
        <f t="shared" ref="I41:I50" si="9" xml:space="preserve"> -G41*E41</f>
        <v>0</v>
      </c>
      <c r="J41" s="683">
        <f t="shared" ref="J41:J50" si="10">J40</f>
        <v>0</v>
      </c>
      <c r="K41" s="683"/>
      <c r="L41" s="683">
        <f t="shared" si="6"/>
        <v>0</v>
      </c>
    </row>
    <row r="42" spans="2:12" ht="15.75">
      <c r="B42" s="659" t="s">
        <v>577</v>
      </c>
      <c r="C42" s="659" t="str">
        <f>+C41</f>
        <v>Year 2026</v>
      </c>
      <c r="D42" s="659"/>
      <c r="E42" s="669">
        <f t="shared" si="7"/>
        <v>0</v>
      </c>
      <c r="F42" s="669"/>
      <c r="G42" s="684">
        <f t="shared" si="8"/>
        <v>0</v>
      </c>
      <c r="H42" s="659"/>
      <c r="I42" s="683">
        <f t="shared" si="9"/>
        <v>0</v>
      </c>
      <c r="J42" s="683">
        <f t="shared" si="10"/>
        <v>0</v>
      </c>
      <c r="K42" s="683"/>
      <c r="L42" s="683">
        <f t="shared" si="6"/>
        <v>0</v>
      </c>
    </row>
    <row r="43" spans="2:12" ht="15.75">
      <c r="B43" s="659" t="s">
        <v>578</v>
      </c>
      <c r="C43" s="659" t="str">
        <f>+C42</f>
        <v>Year 2026</v>
      </c>
      <c r="D43" s="659"/>
      <c r="E43" s="669">
        <f t="shared" si="7"/>
        <v>0</v>
      </c>
      <c r="F43" s="669"/>
      <c r="G43" s="684">
        <f t="shared" si="8"/>
        <v>0</v>
      </c>
      <c r="H43" s="659"/>
      <c r="I43" s="683">
        <f t="shared" si="9"/>
        <v>0</v>
      </c>
      <c r="J43" s="683">
        <f>J42</f>
        <v>0</v>
      </c>
      <c r="K43" s="683"/>
      <c r="L43" s="683">
        <f t="shared" si="6"/>
        <v>0</v>
      </c>
    </row>
    <row r="44" spans="2:12" ht="15.75">
      <c r="B44" s="659" t="s">
        <v>579</v>
      </c>
      <c r="C44" s="659" t="str">
        <f>C43</f>
        <v>Year 2026</v>
      </c>
      <c r="D44" s="133"/>
      <c r="E44" s="669">
        <f t="shared" si="7"/>
        <v>0</v>
      </c>
      <c r="F44" s="669"/>
      <c r="G44" s="684">
        <f t="shared" si="8"/>
        <v>0</v>
      </c>
      <c r="H44" s="659"/>
      <c r="I44" s="683">
        <f t="shared" si="9"/>
        <v>0</v>
      </c>
      <c r="J44" s="683">
        <f t="shared" si="10"/>
        <v>0</v>
      </c>
      <c r="K44" s="683"/>
      <c r="L44" s="683">
        <f t="shared" si="6"/>
        <v>0</v>
      </c>
    </row>
    <row r="45" spans="2:12" ht="15.75">
      <c r="B45" s="659" t="s">
        <v>580</v>
      </c>
      <c r="C45" s="659" t="str">
        <f t="shared" ref="C45:C50" si="11">+C44</f>
        <v>Year 2026</v>
      </c>
      <c r="D45" s="659"/>
      <c r="E45" s="669">
        <f t="shared" si="7"/>
        <v>0</v>
      </c>
      <c r="F45" s="669"/>
      <c r="G45" s="684">
        <f t="shared" si="8"/>
        <v>0</v>
      </c>
      <c r="H45" s="659"/>
      <c r="I45" s="683">
        <f t="shared" si="9"/>
        <v>0</v>
      </c>
      <c r="J45" s="683">
        <f t="shared" si="10"/>
        <v>0</v>
      </c>
      <c r="K45" s="683"/>
      <c r="L45" s="683">
        <f t="shared" si="6"/>
        <v>0</v>
      </c>
    </row>
    <row r="46" spans="2:12" ht="15.75">
      <c r="B46" s="659" t="s">
        <v>581</v>
      </c>
      <c r="C46" s="659" t="str">
        <f t="shared" si="11"/>
        <v>Year 2026</v>
      </c>
      <c r="D46" s="659"/>
      <c r="E46" s="669">
        <f t="shared" si="7"/>
        <v>0</v>
      </c>
      <c r="F46" s="669"/>
      <c r="G46" s="684">
        <f t="shared" si="8"/>
        <v>0</v>
      </c>
      <c r="H46" s="659"/>
      <c r="I46" s="683">
        <f t="shared" si="9"/>
        <v>0</v>
      </c>
      <c r="J46" s="683">
        <f t="shared" si="10"/>
        <v>0</v>
      </c>
      <c r="K46" s="683"/>
      <c r="L46" s="683">
        <f t="shared" si="6"/>
        <v>0</v>
      </c>
    </row>
    <row r="47" spans="2:12" ht="15.75">
      <c r="B47" s="659" t="s">
        <v>582</v>
      </c>
      <c r="C47" s="659" t="str">
        <f t="shared" si="11"/>
        <v>Year 2026</v>
      </c>
      <c r="D47" s="659"/>
      <c r="E47" s="669">
        <f t="shared" si="7"/>
        <v>0</v>
      </c>
      <c r="F47" s="669"/>
      <c r="G47" s="684">
        <f t="shared" si="8"/>
        <v>0</v>
      </c>
      <c r="H47" s="659"/>
      <c r="I47" s="683">
        <f t="shared" si="9"/>
        <v>0</v>
      </c>
      <c r="J47" s="683">
        <f>J46</f>
        <v>0</v>
      </c>
      <c r="K47" s="683"/>
      <c r="L47" s="683">
        <f t="shared" si="6"/>
        <v>0</v>
      </c>
    </row>
    <row r="48" spans="2:12" ht="15.75">
      <c r="B48" s="659" t="s">
        <v>583</v>
      </c>
      <c r="C48" s="659" t="str">
        <f t="shared" si="11"/>
        <v>Year 2026</v>
      </c>
      <c r="D48" s="659"/>
      <c r="E48" s="669">
        <f t="shared" si="7"/>
        <v>0</v>
      </c>
      <c r="F48" s="669"/>
      <c r="G48" s="684">
        <f t="shared" si="8"/>
        <v>0</v>
      </c>
      <c r="H48" s="659"/>
      <c r="I48" s="683">
        <f t="shared" si="9"/>
        <v>0</v>
      </c>
      <c r="J48" s="683">
        <f t="shared" si="10"/>
        <v>0</v>
      </c>
      <c r="K48" s="683"/>
      <c r="L48" s="683">
        <f t="shared" si="6"/>
        <v>0</v>
      </c>
    </row>
    <row r="49" spans="2:12" ht="15.75">
      <c r="B49" s="659" t="s">
        <v>584</v>
      </c>
      <c r="C49" s="659" t="str">
        <f t="shared" si="11"/>
        <v>Year 2026</v>
      </c>
      <c r="D49" s="659"/>
      <c r="E49" s="669">
        <f t="shared" si="7"/>
        <v>0</v>
      </c>
      <c r="F49" s="669"/>
      <c r="G49" s="684">
        <f t="shared" si="8"/>
        <v>0</v>
      </c>
      <c r="H49" s="659"/>
      <c r="I49" s="683">
        <f t="shared" si="9"/>
        <v>0</v>
      </c>
      <c r="J49" s="683">
        <f t="shared" si="10"/>
        <v>0</v>
      </c>
      <c r="K49" s="683"/>
      <c r="L49" s="683">
        <f t="shared" si="6"/>
        <v>0</v>
      </c>
    </row>
    <row r="50" spans="2:12" ht="15.75">
      <c r="B50" s="659" t="s">
        <v>585</v>
      </c>
      <c r="C50" s="659" t="str">
        <f t="shared" si="11"/>
        <v>Year 2026</v>
      </c>
      <c r="D50" s="659"/>
      <c r="E50" s="669">
        <f t="shared" si="7"/>
        <v>0</v>
      </c>
      <c r="F50" s="669"/>
      <c r="G50" s="684">
        <f t="shared" si="8"/>
        <v>0</v>
      </c>
      <c r="H50" s="659"/>
      <c r="I50" s="685">
        <f t="shared" si="9"/>
        <v>0</v>
      </c>
      <c r="J50" s="683">
        <f t="shared" si="10"/>
        <v>0</v>
      </c>
      <c r="K50" s="683"/>
      <c r="L50" s="683">
        <f t="shared" si="6"/>
        <v>0</v>
      </c>
    </row>
    <row r="51" spans="2:12" ht="15.75">
      <c r="B51" s="659"/>
      <c r="C51" s="659"/>
      <c r="D51" s="659"/>
      <c r="E51" s="669"/>
      <c r="F51" s="669"/>
      <c r="G51" s="684"/>
      <c r="H51" s="659"/>
      <c r="I51" s="683">
        <f>SUM(I39:I50)</f>
        <v>0</v>
      </c>
      <c r="J51" s="683"/>
      <c r="K51" s="683"/>
      <c r="L51" s="683"/>
    </row>
    <row r="52" spans="2:12" ht="15">
      <c r="B52" s="133"/>
      <c r="C52" s="133"/>
      <c r="D52" s="133"/>
      <c r="E52" s="133"/>
      <c r="F52" s="133"/>
      <c r="G52" s="133"/>
      <c r="H52" s="133"/>
      <c r="I52" s="133"/>
      <c r="J52" s="690"/>
      <c r="K52" s="133"/>
      <c r="L52" s="133"/>
    </row>
    <row r="53" spans="2:12" ht="15.75">
      <c r="B53" s="659" t="s">
        <v>589</v>
      </c>
      <c r="C53" s="133"/>
      <c r="D53" s="133"/>
      <c r="E53" s="133"/>
      <c r="F53" s="133"/>
      <c r="G53" s="133"/>
      <c r="H53" s="133"/>
      <c r="I53" s="133"/>
      <c r="J53" s="691">
        <f>(SUM(J39:J50)*-1)</f>
        <v>0</v>
      </c>
      <c r="K53" s="133"/>
      <c r="L53" s="133"/>
    </row>
    <row r="54" spans="2:12" ht="15.75">
      <c r="B54" s="659" t="s">
        <v>590</v>
      </c>
      <c r="C54" s="133"/>
      <c r="D54" s="133"/>
      <c r="E54" s="133"/>
      <c r="F54" s="133"/>
      <c r="G54" s="133"/>
      <c r="H54" s="133"/>
      <c r="I54" s="133"/>
      <c r="J54" s="692">
        <f>+I10</f>
        <v>0</v>
      </c>
      <c r="K54" s="133"/>
      <c r="L54" s="133"/>
    </row>
    <row r="55" spans="2:12" ht="15.75">
      <c r="B55" s="659" t="s">
        <v>591</v>
      </c>
      <c r="C55" s="133"/>
      <c r="D55" s="133"/>
      <c r="E55" s="133"/>
      <c r="F55" s="133"/>
      <c r="G55" s="133"/>
      <c r="H55" s="133"/>
      <c r="I55" s="133"/>
      <c r="J55" s="691">
        <f>(J53+J54)</f>
        <v>0</v>
      </c>
      <c r="K55" s="133"/>
      <c r="L55" s="133"/>
    </row>
    <row r="57" spans="2:12" ht="50.25" customHeight="1">
      <c r="B57" s="1251" t="s">
        <v>592</v>
      </c>
      <c r="C57" s="1251"/>
      <c r="D57" s="1251"/>
      <c r="E57" s="1251"/>
      <c r="F57" s="1251"/>
      <c r="G57" s="1251"/>
      <c r="H57" s="1251"/>
      <c r="I57" s="1251"/>
      <c r="J57" s="1251"/>
      <c r="K57" s="960"/>
      <c r="L57" s="960"/>
    </row>
  </sheetData>
  <mergeCells count="5">
    <mergeCell ref="B1:L1"/>
    <mergeCell ref="B2:L2"/>
    <mergeCell ref="B3:L3"/>
    <mergeCell ref="E4:H4"/>
    <mergeCell ref="B57:J57"/>
  </mergeCells>
  <pageMargins left="0.7" right="0.7" top="0.75" bottom="0.75" header="0.3" footer="0.3"/>
  <pageSetup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L222"/>
  <sheetViews>
    <sheetView tabSelected="1" view="pageBreakPreview" topLeftCell="A5" zoomScale="70" zoomScaleNormal="75" zoomScaleSheetLayoutView="70" workbookViewId="0">
      <selection activeCell="O54" sqref="O54"/>
    </sheetView>
  </sheetViews>
  <sheetFormatPr defaultRowHeight="12.75"/>
  <cols>
    <col min="1" max="1" width="9.140625" style="7"/>
    <col min="2" max="2" width="0.85546875" style="14" customWidth="1"/>
    <col min="3" max="3" width="41.5703125" style="7" customWidth="1"/>
    <col min="4" max="4" width="38.85546875" style="7" bestFit="1" customWidth="1"/>
    <col min="5" max="5" width="23.28515625" style="7" customWidth="1"/>
    <col min="6" max="6" width="1.7109375" style="7" customWidth="1"/>
    <col min="7" max="7" width="23.5703125" style="7" customWidth="1"/>
    <col min="8" max="8" width="2.85546875" style="7" customWidth="1"/>
    <col min="9" max="9" width="20" style="7" customWidth="1"/>
    <col min="10" max="10" width="5.5703125" style="7" customWidth="1"/>
    <col min="11" max="12" width="9.140625" style="7"/>
    <col min="13" max="13" width="10" style="7" bestFit="1" customWidth="1"/>
    <col min="14" max="14" width="17.7109375" style="7" customWidth="1"/>
    <col min="15" max="15" width="15.5703125" style="7" bestFit="1" customWidth="1"/>
    <col min="16" max="16384" width="9.140625" style="7"/>
  </cols>
  <sheetData>
    <row r="1" spans="1:12" ht="15.75">
      <c r="A1" s="738" t="s">
        <v>414</v>
      </c>
    </row>
    <row r="2" spans="1:12" ht="15.75">
      <c r="A2" s="738" t="s">
        <v>414</v>
      </c>
    </row>
    <row r="3" spans="1:12" ht="15">
      <c r="A3" s="1161" t="str">
        <f>TCOS!$F$5</f>
        <v>AEPTCo subsidiaries in PJM</v>
      </c>
      <c r="B3" s="1161" t="str">
        <f>TCOS!$F$5</f>
        <v>AEPTCo subsidiaries in PJM</v>
      </c>
      <c r="C3" s="1161" t="str">
        <f>TCOS!$F$5</f>
        <v>AEPTCo subsidiaries in PJM</v>
      </c>
      <c r="D3" s="1161" t="str">
        <f>TCOS!$F$5</f>
        <v>AEPTCo subsidiaries in PJM</v>
      </c>
      <c r="E3" s="1161" t="str">
        <f>TCOS!$F$5</f>
        <v>AEPTCo subsidiaries in PJM</v>
      </c>
      <c r="F3" s="1161" t="str">
        <f>TCOS!$F$5</f>
        <v>AEPTCo subsidiaries in PJM</v>
      </c>
      <c r="G3" s="1161" t="str">
        <f>TCOS!$F$5</f>
        <v>AEPTCo subsidiaries in PJM</v>
      </c>
      <c r="H3" s="1161" t="str">
        <f>TCOS!$F$5</f>
        <v>AEPTCo subsidiaries in PJM</v>
      </c>
      <c r="I3" s="1161" t="str">
        <f>TCOS!$F$5</f>
        <v>AEPTCo subsidiaries in PJM</v>
      </c>
      <c r="J3" s="17"/>
    </row>
    <row r="4" spans="1:12" ht="15">
      <c r="A4" s="1162" t="str">
        <f>"Cost of Service Formula Rate Using Actual/Projected FF1 Balances"</f>
        <v>Cost of Service Formula Rate Using Actual/Projected FF1 Balances</v>
      </c>
      <c r="B4" s="1162"/>
      <c r="C4" s="1162"/>
      <c r="D4" s="1162"/>
      <c r="E4" s="1162"/>
      <c r="F4" s="1162"/>
      <c r="G4" s="1162"/>
      <c r="H4" s="1162"/>
      <c r="I4" s="1162"/>
      <c r="J4" s="45"/>
    </row>
    <row r="5" spans="1:12" ht="15">
      <c r="A5" s="1162" t="s">
        <v>270</v>
      </c>
      <c r="B5" s="1162"/>
      <c r="C5" s="1162"/>
      <c r="D5" s="1162"/>
      <c r="E5" s="1162"/>
      <c r="F5" s="1162"/>
      <c r="G5" s="1162"/>
      <c r="H5" s="1162"/>
      <c r="I5" s="1162"/>
      <c r="J5" s="44"/>
    </row>
    <row r="6" spans="1:12" ht="15">
      <c r="A6" s="1173" t="str">
        <f>TCOS!F9</f>
        <v>AEP Indiana Michigan Transmission Company</v>
      </c>
      <c r="B6" s="1173"/>
      <c r="C6" s="1173"/>
      <c r="D6" s="1173"/>
      <c r="E6" s="1173"/>
      <c r="F6" s="1173"/>
      <c r="G6" s="1173"/>
      <c r="H6" s="1173"/>
      <c r="I6" s="1173"/>
      <c r="J6" s="2"/>
    </row>
    <row r="7" spans="1:12">
      <c r="C7" s="13"/>
      <c r="D7" s="13"/>
    </row>
    <row r="8" spans="1:12" ht="15">
      <c r="A8" s="710"/>
      <c r="B8" s="719"/>
      <c r="C8" s="723" t="s">
        <v>460</v>
      </c>
      <c r="D8" s="723" t="s">
        <v>461</v>
      </c>
      <c r="E8" s="723" t="s">
        <v>462</v>
      </c>
      <c r="F8" s="710"/>
      <c r="G8" s="723" t="s">
        <v>463</v>
      </c>
      <c r="H8" s="710"/>
      <c r="I8" s="723" t="s">
        <v>383</v>
      </c>
      <c r="J8" s="4"/>
      <c r="K8"/>
      <c r="L8"/>
    </row>
    <row r="9" spans="1:12" ht="15">
      <c r="A9" s="709"/>
      <c r="B9" s="719"/>
      <c r="C9" s="710"/>
      <c r="D9" s="710"/>
      <c r="E9" s="710"/>
      <c r="F9" s="710"/>
      <c r="G9" s="710"/>
      <c r="H9" s="710"/>
      <c r="I9" s="724"/>
      <c r="J9"/>
      <c r="K9"/>
      <c r="L9"/>
    </row>
    <row r="10" spans="1:12" ht="12.75" customHeight="1">
      <c r="A10" s="722" t="s">
        <v>467</v>
      </c>
      <c r="B10" s="719"/>
      <c r="C10" s="725"/>
      <c r="D10" s="725"/>
      <c r="E10" s="1171" t="str">
        <f>"Balance @    December 31, "&amp;TCOS!L4&amp;""</f>
        <v>Balance @    December 31, 2025</v>
      </c>
      <c r="F10" s="726"/>
      <c r="G10" s="1171" t="str">
        <f>"Balance @     December 31, "&amp;TCOS!L4-1&amp;""</f>
        <v>Balance @     December 31, 2024</v>
      </c>
      <c r="H10" s="726"/>
      <c r="I10" s="1174" t="str">
        <f>"Average Balance for "&amp;TCOS!L4&amp;""</f>
        <v>Average Balance for 2025</v>
      </c>
      <c r="J10"/>
      <c r="K10"/>
      <c r="L10"/>
    </row>
    <row r="11" spans="1:12" ht="15">
      <c r="A11" s="729" t="s">
        <v>405</v>
      </c>
      <c r="B11" s="727"/>
      <c r="C11" s="722" t="s">
        <v>465</v>
      </c>
      <c r="D11" s="722" t="s">
        <v>496</v>
      </c>
      <c r="E11" s="1172"/>
      <c r="F11" s="728"/>
      <c r="G11" s="1172"/>
      <c r="H11" s="728"/>
      <c r="I11" s="1172"/>
      <c r="J11"/>
      <c r="K11"/>
      <c r="L11"/>
    </row>
    <row r="12" spans="1:12">
      <c r="A12" s="43"/>
      <c r="C12" s="13"/>
      <c r="D12" s="13"/>
      <c r="G12" s="96"/>
    </row>
    <row r="13" spans="1:12">
      <c r="A13" s="43"/>
      <c r="C13" s="13"/>
      <c r="D13" s="13"/>
    </row>
    <row r="14" spans="1:12">
      <c r="A14" s="43"/>
      <c r="C14" s="13"/>
      <c r="D14" s="13"/>
    </row>
    <row r="15" spans="1:12" ht="15.75">
      <c r="A15" s="43">
        <v>1</v>
      </c>
      <c r="C15" s="28" t="s">
        <v>303</v>
      </c>
      <c r="D15" s="28"/>
    </row>
    <row r="16" spans="1:12" ht="15.75">
      <c r="A16" s="43"/>
      <c r="C16" s="28"/>
      <c r="D16" s="722"/>
      <c r="H16"/>
    </row>
    <row r="17" spans="1:9" ht="14.25">
      <c r="A17" s="43">
        <f>+A15+1</f>
        <v>2</v>
      </c>
      <c r="C17" s="716" t="s">
        <v>309</v>
      </c>
      <c r="D17" s="720" t="s">
        <v>311</v>
      </c>
      <c r="E17" s="708">
        <f>SUM('WS B-1 - Actual Stmt. AF'!Q23:S23)</f>
        <v>0</v>
      </c>
      <c r="F17" s="710"/>
      <c r="G17" s="708">
        <f>SUM('WS B-1 - Actual Stmt. AF'!M23:O23)</f>
        <v>0</v>
      </c>
      <c r="H17" s="713"/>
      <c r="I17" s="714">
        <f>IF(G17="",0,(E17+G17)/2)</f>
        <v>0</v>
      </c>
    </row>
    <row r="18" spans="1:9" ht="14.25">
      <c r="A18" s="43">
        <f>+A17+1</f>
        <v>3</v>
      </c>
      <c r="C18" s="716" t="s">
        <v>313</v>
      </c>
      <c r="D18" s="709" t="str">
        <f>"WS B-1 - Actual Stmt. AF Ln. " &amp;'WS B-1 - Actual Stmt. AF'!A24&amp;" (Note 1)"</f>
        <v>WS B-1 - Actual Stmt. AF Ln. 4 (Note 1)</v>
      </c>
      <c r="E18" s="708">
        <f>SUM('WS B-1 - Actual Stmt. AF'!Q24:S24)</f>
        <v>0</v>
      </c>
      <c r="F18" s="710"/>
      <c r="G18" s="708">
        <f>SUM('WS B-1 - Actual Stmt. AF'!M24:O24)</f>
        <v>0</v>
      </c>
      <c r="H18" s="713"/>
      <c r="I18" s="714">
        <f>IF(G18="",0,(E18+G18)/2)</f>
        <v>0</v>
      </c>
    </row>
    <row r="19" spans="1:9" ht="16.5">
      <c r="A19" s="43">
        <f>+A18+1</f>
        <v>4</v>
      </c>
      <c r="C19" s="716" t="s">
        <v>314</v>
      </c>
      <c r="D19" s="709" t="str">
        <f>"WS B-1 - Actual Stmt. AF Ln. " &amp;'WS B-1 - Actual Stmt. AF'!A23&amp;" (Note 1)"</f>
        <v>WS B-1 - Actual Stmt. AF Ln. 3 (Note 1)</v>
      </c>
      <c r="E19" s="712">
        <f>SUM('WS B-1 - Actual Stmt. AF'!Q23:S23)-SUM('WS B-1 - Actual Stmt. AF'!Q24:S24)</f>
        <v>0</v>
      </c>
      <c r="F19" s="710"/>
      <c r="G19" s="712">
        <f>SUM('WS B-1 - Actual Stmt. AF'!M23:O23)-SUM('WS B-1 - Actual Stmt. AF'!M24:O24)</f>
        <v>0</v>
      </c>
      <c r="H19" s="710"/>
      <c r="I19" s="715">
        <f>IF(G19="",0,(E19+G19)/2)</f>
        <v>0</v>
      </c>
    </row>
    <row r="20" spans="1:9" ht="14.25">
      <c r="A20" s="43">
        <f>+A19+1</f>
        <v>5</v>
      </c>
      <c r="C20" s="716" t="s">
        <v>310</v>
      </c>
      <c r="D20" s="721" t="str">
        <f>"Ln "&amp;A17&amp;" - ln "&amp;A18&amp;" - ln "&amp;A19&amp;""</f>
        <v>Ln 2 - ln 3 - ln 4</v>
      </c>
      <c r="E20" s="711">
        <f>+E17-E18-E19</f>
        <v>0</v>
      </c>
      <c r="F20" s="710"/>
      <c r="G20" s="711">
        <f>+G17-G18-G19</f>
        <v>0</v>
      </c>
      <c r="H20" s="710"/>
      <c r="I20" s="714">
        <f>+I17-I18-I19</f>
        <v>0</v>
      </c>
    </row>
    <row r="21" spans="1:9" ht="14.25">
      <c r="A21" s="43"/>
      <c r="C21" s="36"/>
      <c r="D21" s="716"/>
      <c r="E21" s="710"/>
      <c r="F21" s="710"/>
      <c r="G21" s="710"/>
      <c r="H21" s="710"/>
      <c r="I21" s="710"/>
    </row>
    <row r="22" spans="1:9" ht="14.25">
      <c r="A22" s="43"/>
      <c r="C22" s="36"/>
      <c r="D22" s="716"/>
      <c r="E22" s="710"/>
      <c r="F22" s="710"/>
      <c r="G22" s="710"/>
      <c r="H22" s="710"/>
      <c r="I22" s="710"/>
    </row>
    <row r="23" spans="1:9" ht="15.75">
      <c r="A23" s="43">
        <f>+A20+1</f>
        <v>6</v>
      </c>
      <c r="C23" s="28" t="s">
        <v>304</v>
      </c>
      <c r="D23" s="716"/>
      <c r="E23" s="710"/>
      <c r="F23" s="710"/>
      <c r="G23" s="710"/>
      <c r="H23" s="710"/>
      <c r="I23" s="710"/>
    </row>
    <row r="24" spans="1:9" ht="14.25">
      <c r="A24" s="43"/>
      <c r="C24" s="36"/>
      <c r="D24" s="716"/>
      <c r="E24" s="710"/>
      <c r="F24" s="710"/>
      <c r="G24" s="710"/>
      <c r="H24" s="710"/>
      <c r="I24" s="710"/>
    </row>
    <row r="25" spans="1:9" ht="14.25">
      <c r="A25" s="43">
        <f>+A23+1</f>
        <v>7</v>
      </c>
      <c r="C25" s="716" t="s">
        <v>309</v>
      </c>
      <c r="D25" s="720" t="s">
        <v>237</v>
      </c>
      <c r="E25" s="708">
        <f>SUM('WS B-1 - Actual Stmt. AF'!Q49:S49)-'WS B-1 - Actual Stmt. AF'!D41</f>
        <v>426373142.10000008</v>
      </c>
      <c r="F25" s="710"/>
      <c r="G25" s="708">
        <f>SUM('WS B-1 - Actual Stmt. AF'!M49:O49)-'WS B-1 - Actual Stmt. AF'!C41</f>
        <v>404563494.87000006</v>
      </c>
      <c r="H25" s="713"/>
      <c r="I25" s="714">
        <f>IF(G25="",0,(E25+G25)/2)</f>
        <v>415468318.48500007</v>
      </c>
    </row>
    <row r="26" spans="1:9" ht="14.25">
      <c r="A26" s="43">
        <f>+A25+1</f>
        <v>8</v>
      </c>
      <c r="C26" s="716" t="s">
        <v>313</v>
      </c>
      <c r="D26" s="709" t="str">
        <f>"WS B-1 - Actual Stmt. AF Ln. " &amp;'WS B-1 - Actual Stmt. AF'!A50&amp;" (Note 1)"</f>
        <v>WS B-1 - Actual Stmt. AF Ln. 7 (Note 1)</v>
      </c>
      <c r="E26" s="708">
        <f>'WS B-1 - Actual Stmt. AF'!D50</f>
        <v>0</v>
      </c>
      <c r="F26" s="710"/>
      <c r="G26" s="708">
        <f>'WS B-1 - Actual Stmt. AF'!C50</f>
        <v>0</v>
      </c>
      <c r="H26" s="713"/>
      <c r="I26" s="714">
        <f>IF(G26="",0,(E26+G26)/2)</f>
        <v>0</v>
      </c>
    </row>
    <row r="27" spans="1:9" ht="16.5">
      <c r="A27" s="43">
        <f>+A26+1</f>
        <v>9</v>
      </c>
      <c r="C27" s="716" t="s">
        <v>314</v>
      </c>
      <c r="D27" s="709" t="str">
        <f>"WS B-1 - Actual Stmt. AF Ln. " &amp;'WS B-1 - Actual Stmt. AF'!A49&amp;" (Note 1)"</f>
        <v>WS B-1 - Actual Stmt. AF Ln. 6 (Note 1)</v>
      </c>
      <c r="E27" s="712">
        <f>('WS B-1 - Actual Stmt. AF'!Q49+'WS B-1 - Actual Stmt. AF'!S49)-('WS B-1 - Actual Stmt. AF'!Q50-'WS B-1 - Actual Stmt. AF'!S50)-'WS B-1 - Actual Stmt. AF'!D41</f>
        <v>0</v>
      </c>
      <c r="F27" s="710"/>
      <c r="G27" s="712">
        <f>('WS B-1 - Actual Stmt. AF'!M49+'WS B-1 - Actual Stmt. AF'!O49)-('WS B-1 - Actual Stmt. AF'!M50+'WS B-1 - Actual Stmt. AF'!O50)-'WS B-1 - Actual Stmt. AF'!C41</f>
        <v>68026977.682829693</v>
      </c>
      <c r="H27" s="710"/>
      <c r="I27" s="715">
        <f>IF(G27="",0,(E27+G27)/2)</f>
        <v>34013488.841414846</v>
      </c>
    </row>
    <row r="28" spans="1:9" ht="14.25">
      <c r="A28" s="43">
        <f>+A27+1</f>
        <v>10</v>
      </c>
      <c r="C28" s="716" t="s">
        <v>310</v>
      </c>
      <c r="D28" s="721" t="str">
        <f>"Ln "&amp;A25&amp;" - ln "&amp;A26&amp;" - ln "&amp;A27&amp;""</f>
        <v>Ln 7 - ln 8 - ln 9</v>
      </c>
      <c r="E28" s="711">
        <f>+E25-E26-E27</f>
        <v>426373142.10000008</v>
      </c>
      <c r="F28" s="710"/>
      <c r="G28" s="711">
        <f>+G25-G26-G27</f>
        <v>336536517.18717039</v>
      </c>
      <c r="H28" s="710"/>
      <c r="I28" s="714">
        <f>+I25-I26-I27</f>
        <v>381454829.64358521</v>
      </c>
    </row>
    <row r="29" spans="1:9" ht="14.25">
      <c r="A29" s="43"/>
      <c r="C29" s="36"/>
      <c r="D29" s="716"/>
      <c r="E29" s="710"/>
      <c r="F29" s="710"/>
      <c r="G29" s="710"/>
      <c r="H29" s="710"/>
      <c r="I29" s="710"/>
    </row>
    <row r="30" spans="1:9" ht="14.25">
      <c r="A30" s="43"/>
      <c r="C30" s="36"/>
      <c r="D30" s="716"/>
      <c r="E30" s="711"/>
      <c r="F30" s="710"/>
      <c r="G30" s="711"/>
      <c r="H30" s="710"/>
      <c r="I30" s="710"/>
    </row>
    <row r="31" spans="1:9" ht="15.75">
      <c r="A31" s="43">
        <f>+A28+1</f>
        <v>11</v>
      </c>
      <c r="C31" s="28" t="s">
        <v>305</v>
      </c>
      <c r="D31" s="716"/>
      <c r="E31" s="710"/>
      <c r="F31" s="710"/>
      <c r="G31" s="710"/>
      <c r="H31" s="710"/>
      <c r="I31" s="710"/>
    </row>
    <row r="32" spans="1:9" ht="15.75">
      <c r="A32" s="43"/>
      <c r="C32" s="28"/>
      <c r="D32" s="716"/>
      <c r="E32" s="710"/>
      <c r="F32" s="710"/>
      <c r="G32" s="710"/>
      <c r="H32" s="710"/>
      <c r="I32" s="710"/>
    </row>
    <row r="33" spans="1:9" ht="14.25">
      <c r="A33" s="43">
        <f>+A31+1</f>
        <v>12</v>
      </c>
      <c r="C33" s="716" t="s">
        <v>309</v>
      </c>
      <c r="D33" s="720" t="s">
        <v>312</v>
      </c>
      <c r="E33" s="708">
        <f>SUM('WS B-1 - Actual Stmt. AF'!Q70:S70)-'WS B-1 - Actual Stmt. AF'!D56</f>
        <v>63916241.160000004</v>
      </c>
      <c r="F33" s="710"/>
      <c r="G33" s="708">
        <f>SUM('WS B-1 - Actual Stmt. AF'!M70:O70)-'WS B-1 - Actual Stmt. AF'!C56</f>
        <v>52982505.409999996</v>
      </c>
      <c r="H33" s="713"/>
      <c r="I33" s="714">
        <f>IF(G33="",0,(E33+G33)/2)</f>
        <v>58449373.284999996</v>
      </c>
    </row>
    <row r="34" spans="1:9" ht="14.25">
      <c r="A34" s="43">
        <f>+A33+1</f>
        <v>13</v>
      </c>
      <c r="C34" s="716" t="s">
        <v>313</v>
      </c>
      <c r="D34" s="709" t="str">
        <f>"WS B-1 - Actual Stmt. AF Ln. " &amp;'WS B-1 - Actual Stmt. AF'!A71&amp;" (Note 1)"</f>
        <v>WS B-1 - Actual Stmt. AF Ln. 13 (Note 1)</v>
      </c>
      <c r="E34" s="708">
        <f>SUM('WS B-1 - Actual Stmt. AF'!Q71:S71)</f>
        <v>0</v>
      </c>
      <c r="F34" s="710"/>
      <c r="G34" s="708">
        <f>SUM('WS B-1 - Actual Stmt. AF'!M71:O71)</f>
        <v>0</v>
      </c>
      <c r="H34" s="713"/>
      <c r="I34" s="714">
        <f>IF(G34="",0,(E34+G34)/2)</f>
        <v>0</v>
      </c>
    </row>
    <row r="35" spans="1:9" ht="16.5">
      <c r="A35" s="43">
        <f>+A34+1</f>
        <v>14</v>
      </c>
      <c r="C35" s="716" t="s">
        <v>314</v>
      </c>
      <c r="D35" s="709" t="str">
        <f>"WS B-1 - Actual Stmt. AF Ln. " &amp;'WS B-1 - Actual Stmt. AF'!A70&amp;" (Note 1)"</f>
        <v>WS B-1 - Actual Stmt. AF Ln. 12 (Note 1)</v>
      </c>
      <c r="E35" s="712">
        <f>('WS B-1 - Actual Stmt. AF'!Q70+'WS B-1 - Actual Stmt. AF'!S70)-('WS B-1 - Actual Stmt. AF'!Q71+'WS B-1 - Actual Stmt. AF'!S71)-'WS B-1 - Actual Stmt. AF'!D56</f>
        <v>0</v>
      </c>
      <c r="F35" s="710"/>
      <c r="G35" s="712">
        <f>('WS B-1 - Actual Stmt. AF'!M70+'WS B-1 - Actual Stmt. AF'!O70)-('WS B-1 - Actual Stmt. AF'!M71+'WS B-1 - Actual Stmt. AF'!O71)-'WS B-1 - Actual Stmt. AF'!C56</f>
        <v>0</v>
      </c>
      <c r="H35" s="710"/>
      <c r="I35" s="715">
        <f>IF(G35="",0,(E35+G35)/2)</f>
        <v>0</v>
      </c>
    </row>
    <row r="36" spans="1:9" ht="14.25">
      <c r="A36" s="43">
        <f>+A35+1</f>
        <v>15</v>
      </c>
      <c r="C36" s="716" t="s">
        <v>310</v>
      </c>
      <c r="D36" s="721" t="str">
        <f>"Ln "&amp;A33&amp;" - ln "&amp;A34&amp;" - ln "&amp;A35&amp;""</f>
        <v>Ln 12 - ln 13 - ln 14</v>
      </c>
      <c r="E36" s="711">
        <f>+E33-E34-E35</f>
        <v>63916241.160000004</v>
      </c>
      <c r="F36" s="710"/>
      <c r="G36" s="711">
        <f>+G33-G34-G35</f>
        <v>52982505.409999996</v>
      </c>
      <c r="H36" s="710"/>
      <c r="I36" s="714">
        <f>+I33-I34-I35</f>
        <v>58449373.284999996</v>
      </c>
    </row>
    <row r="37" spans="1:9" ht="15.75">
      <c r="A37" s="43"/>
      <c r="C37" s="28"/>
      <c r="D37" s="716"/>
      <c r="E37" s="710"/>
      <c r="F37" s="710"/>
      <c r="G37" s="710"/>
      <c r="H37" s="710"/>
      <c r="I37" s="710"/>
    </row>
    <row r="38" spans="1:9" ht="14.25">
      <c r="A38" s="43"/>
      <c r="C38" s="36"/>
      <c r="D38" s="716"/>
      <c r="E38" s="710"/>
      <c r="F38" s="710"/>
      <c r="G38" s="710"/>
      <c r="H38" s="710"/>
      <c r="I38" s="710"/>
    </row>
    <row r="39" spans="1:9" ht="15.75">
      <c r="A39" s="43">
        <f>+A36+1</f>
        <v>16</v>
      </c>
      <c r="C39" s="28" t="s">
        <v>306</v>
      </c>
      <c r="D39" s="716"/>
      <c r="E39" s="710"/>
      <c r="F39" s="710"/>
      <c r="G39" s="710"/>
      <c r="H39" s="710"/>
      <c r="I39" s="710"/>
    </row>
    <row r="40" spans="1:9" ht="14.25">
      <c r="A40" s="43"/>
      <c r="C40" s="36"/>
      <c r="D40" s="716"/>
      <c r="E40" s="710"/>
      <c r="F40" s="710"/>
      <c r="G40" s="710"/>
      <c r="H40" s="710"/>
      <c r="I40" s="710"/>
    </row>
    <row r="41" spans="1:9" ht="14.25">
      <c r="A41" s="43">
        <f>+A39+1</f>
        <v>17</v>
      </c>
      <c r="C41" s="716" t="s">
        <v>309</v>
      </c>
      <c r="D41" s="720" t="s">
        <v>308</v>
      </c>
      <c r="E41" s="708">
        <f>SUM('WS B-2 - Actual Stmt. AG'!Q51:S51)-'WS B-2 - Actual Stmt. AG'!D41</f>
        <v>85596142.619999975</v>
      </c>
      <c r="F41" s="710"/>
      <c r="G41" s="708">
        <f>SUM('WS B-2 - Actual Stmt. AG'!M51:O51)-'WS B-2 - Actual Stmt. AG'!C41</f>
        <v>12083312.530000005</v>
      </c>
      <c r="H41" s="713"/>
      <c r="I41" s="714">
        <f>IF(G41="",0,(E41+G41)/2)</f>
        <v>48839727.574999988</v>
      </c>
    </row>
    <row r="42" spans="1:9" ht="14.25">
      <c r="A42" s="43">
        <f>+A41+1</f>
        <v>18</v>
      </c>
      <c r="C42" s="716" t="s">
        <v>313</v>
      </c>
      <c r="D42" s="709" t="str">
        <f>"WS B-2 - Actual Stmt. AG Ln. " &amp;'WS B-2 - Actual Stmt. AG'!A52&amp;" (Note 1)"</f>
        <v>WS B-2 - Actual Stmt. AG Ln. 4 (Note 1)</v>
      </c>
      <c r="E42" s="708">
        <f>SUM('WS B-2 - Actual Stmt. AG'!Q52:S52)</f>
        <v>0</v>
      </c>
      <c r="F42" s="710"/>
      <c r="G42" s="708">
        <f>SUM('WS B-2 - Actual Stmt. AG'!M52:O52)</f>
        <v>0</v>
      </c>
      <c r="H42" s="713"/>
      <c r="I42" s="714">
        <f>IF(G42="",0,(E42+G42)/2)</f>
        <v>0</v>
      </c>
    </row>
    <row r="43" spans="1:9" ht="16.5">
      <c r="A43" s="43">
        <f>+A42+1</f>
        <v>19</v>
      </c>
      <c r="C43" s="716" t="s">
        <v>314</v>
      </c>
      <c r="D43" s="709" t="str">
        <f>"WS B-2 - Actual Stmt. AG Ln. " &amp;'WS B-2 - Actual Stmt. AG'!A51&amp;" (Note 1)"</f>
        <v>WS B-2 - Actual Stmt. AG Ln. 3 (Note 1)</v>
      </c>
      <c r="E43" s="712">
        <f>('WS B-2 - Actual Stmt. AG'!Q51+'WS B-2 - Actual Stmt. AG'!S51)-('WS B-2 - Actual Stmt. AG'!Q52+'WS B-2 - Actual Stmt. AG'!S52)-'WS B-2 - Actual Stmt. AG'!D41</f>
        <v>0</v>
      </c>
      <c r="F43" s="710"/>
      <c r="G43" s="712">
        <f>('WS B-2 - Actual Stmt. AG'!M51+'WS B-2 - Actual Stmt. AG'!O51)-('WS B-2 - Actual Stmt. AG'!M52+'WS B-2 - Actual Stmt. AG'!O52)-'WS B-2 - Actual Stmt. AG'!C41</f>
        <v>-13920468.115313809</v>
      </c>
      <c r="H43" s="710"/>
      <c r="I43" s="715">
        <f>IF(G43="",0,(E43+G43)/2)</f>
        <v>-6960234.0576569047</v>
      </c>
    </row>
    <row r="44" spans="1:9" ht="14.25">
      <c r="A44" s="43">
        <f>+A43+1</f>
        <v>20</v>
      </c>
      <c r="C44" s="716" t="s">
        <v>310</v>
      </c>
      <c r="D44" s="721" t="str">
        <f>"Ln "&amp;A41&amp;" - ln "&amp;A42&amp;" - ln "&amp;A43&amp;""</f>
        <v>Ln 17 - ln 18 - ln 19</v>
      </c>
      <c r="E44" s="711">
        <f>+E41-E42-E43</f>
        <v>85596142.619999975</v>
      </c>
      <c r="F44" s="710"/>
      <c r="G44" s="711">
        <f>+G41-G42-G43</f>
        <v>26003780.645313814</v>
      </c>
      <c r="H44" s="710"/>
      <c r="I44" s="714">
        <f>+I41-I42-I43</f>
        <v>55799961.632656895</v>
      </c>
    </row>
    <row r="45" spans="1:9" ht="14.25">
      <c r="A45" s="43"/>
      <c r="C45" s="36"/>
      <c r="D45" s="36"/>
      <c r="E45" s="710"/>
      <c r="F45" s="710"/>
      <c r="G45" s="710"/>
      <c r="H45" s="710"/>
      <c r="I45" s="710"/>
    </row>
    <row r="46" spans="1:9" ht="14.25">
      <c r="A46" s="43"/>
      <c r="C46" s="36"/>
      <c r="D46" s="36"/>
      <c r="E46" s="710"/>
      <c r="F46" s="710"/>
      <c r="G46" s="710"/>
      <c r="H46" s="710"/>
      <c r="I46" s="710"/>
    </row>
    <row r="47" spans="1:9" ht="15.75">
      <c r="A47" s="43">
        <f>+A44+1</f>
        <v>21</v>
      </c>
      <c r="C47" s="28" t="s">
        <v>307</v>
      </c>
      <c r="D47" s="36"/>
      <c r="E47" s="710"/>
      <c r="F47" s="710"/>
      <c r="G47" s="710"/>
      <c r="H47" s="710"/>
      <c r="I47" s="710"/>
    </row>
    <row r="48" spans="1:9" ht="14.25">
      <c r="A48" s="43"/>
      <c r="C48" s="36"/>
      <c r="D48" s="36"/>
      <c r="E48" s="710"/>
      <c r="F48" s="710"/>
      <c r="G48" s="710"/>
      <c r="H48" s="710"/>
      <c r="I48" s="710"/>
    </row>
    <row r="49" spans="1:10" ht="14.25">
      <c r="A49" s="43">
        <f>+A47+1</f>
        <v>22</v>
      </c>
      <c r="C49" s="716" t="s">
        <v>315</v>
      </c>
      <c r="D49" s="720" t="s">
        <v>269</v>
      </c>
      <c r="E49" s="708">
        <f>SUM('WS B-1 - Actual Stmt. AF'!Q84:S84)</f>
        <v>0</v>
      </c>
      <c r="F49" s="710"/>
      <c r="G49" s="708">
        <f>SUM('WS B-1 - Actual Stmt. AF'!M84:O84)</f>
        <v>0</v>
      </c>
      <c r="H49" s="713"/>
      <c r="I49" s="714">
        <f>IF(G49="",0,(E49+G49)/2)</f>
        <v>0</v>
      </c>
    </row>
    <row r="50" spans="1:10" ht="16.5">
      <c r="A50" s="43">
        <f>+A49+1</f>
        <v>23</v>
      </c>
      <c r="C50" s="716" t="s">
        <v>316</v>
      </c>
      <c r="D50" s="709" t="s">
        <v>334</v>
      </c>
      <c r="E50" s="712">
        <v>0</v>
      </c>
      <c r="F50" s="710"/>
      <c r="G50" s="712">
        <v>0</v>
      </c>
      <c r="H50" s="713"/>
      <c r="I50" s="715">
        <f>IF(G50="",0,(E50+G50)/2)</f>
        <v>0</v>
      </c>
    </row>
    <row r="51" spans="1:10" ht="14.25">
      <c r="A51" s="43">
        <f>+A50+1</f>
        <v>24</v>
      </c>
      <c r="C51" s="716" t="s">
        <v>260</v>
      </c>
      <c r="D51" s="721" t="str">
        <f>"Ln "&amp;A49&amp;" - ln "&amp;A50&amp;""</f>
        <v>Ln 22 - ln 23</v>
      </c>
      <c r="E51" s="711">
        <f>+E49-E50</f>
        <v>0</v>
      </c>
      <c r="F51" s="710"/>
      <c r="G51" s="711">
        <f>+G49-G50</f>
        <v>0</v>
      </c>
      <c r="H51" s="713"/>
      <c r="I51" s="714">
        <f>+I49-I50</f>
        <v>0</v>
      </c>
    </row>
    <row r="52" spans="1:10" ht="14.25">
      <c r="A52" s="43">
        <f>+A51+1</f>
        <v>25</v>
      </c>
      <c r="C52" s="716" t="s">
        <v>310</v>
      </c>
      <c r="D52" s="721" t="str">
        <f>"WS B-1 - Actual Stmt. AF Ln. " &amp;'WS B-1 - Actual Stmt. AF'!A84&amp;" (Note 1)"</f>
        <v>WS B-1 - Actual Stmt. AF Ln. 20 (Note 1)</v>
      </c>
      <c r="E52" s="708">
        <f>'WS B-1 - Actual Stmt. AF'!R84</f>
        <v>0</v>
      </c>
      <c r="F52" s="710"/>
      <c r="G52" s="708">
        <f>'WS B-1 - Actual Stmt. AF'!N84</f>
        <v>0</v>
      </c>
      <c r="H52" s="713"/>
      <c r="I52" s="714">
        <f>IF(G52="",0,(E52+G52)/2)</f>
        <v>0</v>
      </c>
    </row>
    <row r="53" spans="1:10">
      <c r="A53" s="43"/>
      <c r="C53" s="36"/>
      <c r="D53" s="36"/>
    </row>
    <row r="54" spans="1:10" ht="14.25">
      <c r="A54" s="717" t="s">
        <v>333</v>
      </c>
      <c r="B54" s="718" t="s">
        <v>414</v>
      </c>
      <c r="C54" s="718" t="s">
        <v>764</v>
      </c>
      <c r="D54" s="36"/>
    </row>
    <row r="55" spans="1:10" ht="27.6" customHeight="1">
      <c r="A55" s="709"/>
      <c r="B55" s="719"/>
      <c r="C55" s="1170" t="s">
        <v>765</v>
      </c>
      <c r="D55" s="1170"/>
      <c r="E55" s="1170"/>
      <c r="F55" s="1170"/>
      <c r="G55" s="1170"/>
    </row>
    <row r="56" spans="1:10" ht="14.25">
      <c r="A56" s="709" t="s">
        <v>266</v>
      </c>
      <c r="B56" s="719" t="s">
        <v>267</v>
      </c>
      <c r="C56" s="716"/>
      <c r="D56" s="36"/>
    </row>
    <row r="57" spans="1:10">
      <c r="B57" s="3"/>
      <c r="C57" s="3"/>
      <c r="D57" s="3"/>
      <c r="E57" s="3"/>
      <c r="F57" s="3"/>
      <c r="G57" s="3"/>
      <c r="H57" s="3"/>
      <c r="I57" s="3"/>
      <c r="J57" s="3"/>
    </row>
    <row r="58" spans="1:10">
      <c r="B58" s="3"/>
      <c r="C58" s="3"/>
      <c r="D58" s="3"/>
      <c r="E58" s="3"/>
      <c r="F58" s="3"/>
      <c r="G58" s="3"/>
      <c r="H58" s="3"/>
      <c r="I58" s="3"/>
      <c r="J58" s="3"/>
    </row>
    <row r="59" spans="1:10">
      <c r="B59" s="3"/>
      <c r="C59" s="3"/>
      <c r="D59" s="3"/>
      <c r="E59" s="3"/>
      <c r="F59" s="3"/>
      <c r="G59" s="3"/>
      <c r="H59" s="3"/>
      <c r="I59" s="3"/>
      <c r="J59" s="3"/>
    </row>
    <row r="60" spans="1:10">
      <c r="B60" s="3"/>
      <c r="C60" s="3"/>
      <c r="D60" s="3"/>
      <c r="E60" s="3"/>
      <c r="F60" s="3"/>
      <c r="G60" s="3"/>
      <c r="H60" s="3"/>
      <c r="I60" s="3"/>
      <c r="J60" s="3"/>
    </row>
    <row r="61" spans="1:10">
      <c r="B61" s="3"/>
      <c r="C61" s="3"/>
      <c r="D61" s="3"/>
      <c r="E61" s="3"/>
      <c r="F61" s="3"/>
      <c r="G61" s="3"/>
      <c r="H61" s="3"/>
      <c r="I61" s="3"/>
      <c r="J61" s="3"/>
    </row>
    <row r="62" spans="1:10">
      <c r="B62" s="3"/>
      <c r="C62" s="3"/>
      <c r="D62" s="3"/>
      <c r="E62" s="3"/>
      <c r="F62" s="3"/>
      <c r="G62" s="3"/>
      <c r="H62" s="3"/>
      <c r="I62" s="3"/>
      <c r="J62" s="3"/>
    </row>
    <row r="63" spans="1:10">
      <c r="B63" s="3"/>
      <c r="C63" s="3"/>
      <c r="D63" s="3"/>
      <c r="E63" s="3"/>
      <c r="F63" s="3"/>
      <c r="G63" s="3"/>
      <c r="H63" s="3"/>
      <c r="I63" s="3"/>
      <c r="J63" s="3"/>
    </row>
    <row r="64" spans="1:10">
      <c r="B64" s="3"/>
      <c r="C64" s="3"/>
      <c r="D64" s="3"/>
      <c r="E64" s="3"/>
      <c r="F64" s="3"/>
      <c r="G64" s="3"/>
      <c r="H64" s="3"/>
      <c r="I64" s="3"/>
      <c r="J64" s="3"/>
    </row>
    <row r="65" spans="2:10">
      <c r="B65" s="3"/>
      <c r="C65" s="3"/>
      <c r="D65" s="3"/>
      <c r="E65" s="3"/>
      <c r="F65" s="3"/>
      <c r="G65" s="3"/>
      <c r="H65" s="3"/>
      <c r="I65" s="3"/>
      <c r="J65" s="3"/>
    </row>
    <row r="66" spans="2:10">
      <c r="B66" s="3"/>
      <c r="C66" s="3"/>
      <c r="D66" s="3"/>
      <c r="E66" s="3"/>
      <c r="F66" s="3"/>
      <c r="G66" s="3"/>
      <c r="H66" s="3"/>
      <c r="I66" s="3"/>
      <c r="J66" s="3"/>
    </row>
    <row r="67" spans="2:10">
      <c r="B67" s="3"/>
      <c r="C67" s="3"/>
      <c r="D67" s="3"/>
      <c r="E67" s="3"/>
      <c r="F67" s="3"/>
      <c r="G67" s="3"/>
      <c r="H67" s="3"/>
      <c r="I67" s="3"/>
      <c r="J67" s="3"/>
    </row>
    <row r="68" spans="2:10">
      <c r="B68" s="3"/>
      <c r="C68" s="3"/>
      <c r="D68" s="3"/>
      <c r="E68" s="3"/>
      <c r="F68" s="3"/>
      <c r="G68" s="3"/>
      <c r="H68" s="3"/>
      <c r="I68" s="3"/>
      <c r="J68" s="3"/>
    </row>
    <row r="69" spans="2:10">
      <c r="B69" s="3"/>
      <c r="C69" s="3"/>
      <c r="D69" s="3"/>
      <c r="E69" s="3"/>
      <c r="F69" s="3"/>
      <c r="G69" s="3"/>
      <c r="H69" s="3"/>
      <c r="I69" s="3"/>
      <c r="J69" s="3"/>
    </row>
    <row r="70" spans="2:10">
      <c r="B70" s="3"/>
      <c r="C70" s="3"/>
      <c r="D70" s="3"/>
      <c r="E70" s="3"/>
      <c r="F70" s="3"/>
      <c r="G70" s="3"/>
      <c r="H70" s="3"/>
      <c r="I70" s="3"/>
      <c r="J70" s="3"/>
    </row>
    <row r="71" spans="2:10">
      <c r="B71" s="3"/>
      <c r="C71" s="3"/>
      <c r="D71" s="3"/>
      <c r="E71" s="3"/>
      <c r="F71" s="3"/>
      <c r="G71" s="3"/>
      <c r="H71" s="3"/>
      <c r="I71" s="3"/>
      <c r="J71" s="3"/>
    </row>
    <row r="72" spans="2:10">
      <c r="B72" s="3"/>
      <c r="C72" s="3"/>
      <c r="D72" s="3"/>
      <c r="E72" s="3"/>
      <c r="F72" s="3"/>
      <c r="G72" s="3"/>
      <c r="H72" s="3"/>
      <c r="I72" s="3"/>
      <c r="J72" s="3"/>
    </row>
    <row r="73" spans="2:10">
      <c r="B73" s="3"/>
      <c r="C73" s="3"/>
      <c r="D73" s="3"/>
      <c r="E73" s="3"/>
      <c r="F73" s="3"/>
      <c r="G73" s="3"/>
      <c r="H73" s="3"/>
      <c r="I73" s="3"/>
      <c r="J73" s="3"/>
    </row>
    <row r="74" spans="2:10">
      <c r="B74" s="3"/>
      <c r="C74" s="3"/>
      <c r="D74" s="3"/>
      <c r="E74" s="3"/>
      <c r="F74" s="3"/>
      <c r="G74" s="3"/>
      <c r="H74" s="3"/>
      <c r="I74" s="3"/>
      <c r="J74" s="3"/>
    </row>
    <row r="75" spans="2:10">
      <c r="B75" s="3"/>
      <c r="C75" s="3"/>
      <c r="D75" s="3"/>
      <c r="E75" s="3"/>
      <c r="F75" s="3"/>
      <c r="G75" s="3"/>
      <c r="H75" s="3"/>
      <c r="I75" s="3"/>
      <c r="J75" s="3"/>
    </row>
    <row r="76" spans="2:10">
      <c r="B76" s="3"/>
      <c r="C76" s="3"/>
      <c r="D76" s="3"/>
      <c r="E76" s="3"/>
      <c r="F76" s="3"/>
      <c r="G76" s="3"/>
      <c r="H76" s="3"/>
      <c r="I76" s="3"/>
      <c r="J76" s="3"/>
    </row>
    <row r="77" spans="2:10">
      <c r="B77" s="3"/>
      <c r="C77" s="3"/>
      <c r="D77" s="3"/>
      <c r="E77" s="3"/>
      <c r="F77" s="3"/>
      <c r="G77" s="3"/>
      <c r="H77" s="3"/>
      <c r="I77" s="3"/>
      <c r="J77" s="3"/>
    </row>
    <row r="78" spans="2:10">
      <c r="B78" s="3"/>
      <c r="C78" s="3"/>
      <c r="D78" s="3"/>
      <c r="E78" s="3"/>
      <c r="F78" s="3"/>
      <c r="G78" s="3"/>
      <c r="H78" s="3"/>
      <c r="I78" s="3"/>
      <c r="J78" s="3"/>
    </row>
    <row r="79" spans="2:10">
      <c r="B79" s="3"/>
      <c r="C79" s="3"/>
      <c r="D79" s="3"/>
      <c r="E79" s="3"/>
      <c r="F79" s="3"/>
      <c r="G79" s="3"/>
      <c r="H79" s="3"/>
      <c r="I79" s="3"/>
      <c r="J79" s="3"/>
    </row>
    <row r="80" spans="2:10">
      <c r="B80" s="3"/>
      <c r="C80" s="3"/>
      <c r="D80" s="3"/>
      <c r="E80" s="3"/>
      <c r="F80" s="3"/>
      <c r="G80" s="3"/>
      <c r="H80" s="3"/>
      <c r="I80" s="3"/>
      <c r="J80" s="3"/>
    </row>
    <row r="81" spans="2:10">
      <c r="B81" s="3"/>
      <c r="C81" s="3"/>
      <c r="D81" s="3"/>
      <c r="E81" s="3"/>
      <c r="F81" s="3"/>
      <c r="G81" s="3"/>
      <c r="H81" s="3"/>
      <c r="I81" s="3"/>
      <c r="J81" s="3"/>
    </row>
    <row r="82" spans="2:10">
      <c r="B82" s="3"/>
      <c r="C82" s="3"/>
      <c r="D82" s="3"/>
      <c r="E82" s="3"/>
      <c r="F82" s="3"/>
      <c r="G82" s="3"/>
      <c r="H82" s="3"/>
      <c r="I82" s="3"/>
      <c r="J82" s="3"/>
    </row>
    <row r="83" spans="2:10">
      <c r="B83" s="3"/>
      <c r="C83" s="3"/>
      <c r="D83" s="3"/>
      <c r="E83" s="3"/>
      <c r="F83" s="3"/>
      <c r="G83" s="3"/>
      <c r="H83" s="3"/>
      <c r="I83" s="3"/>
      <c r="J83" s="3"/>
    </row>
    <row r="84" spans="2:10">
      <c r="B84" s="3"/>
      <c r="C84" s="3"/>
      <c r="D84" s="3"/>
      <c r="E84" s="3"/>
      <c r="F84" s="3"/>
      <c r="G84" s="3"/>
      <c r="H84" s="3"/>
      <c r="I84" s="3"/>
      <c r="J84" s="3"/>
    </row>
    <row r="85" spans="2:10">
      <c r="B85" s="3"/>
      <c r="C85" s="3"/>
      <c r="D85" s="3"/>
      <c r="E85" s="3"/>
      <c r="F85" s="3"/>
      <c r="G85" s="3"/>
      <c r="H85" s="3"/>
      <c r="I85" s="3"/>
      <c r="J85" s="3"/>
    </row>
    <row r="86" spans="2:10">
      <c r="B86" s="3"/>
      <c r="C86" s="3"/>
      <c r="D86" s="3"/>
      <c r="E86" s="3"/>
      <c r="F86" s="3"/>
      <c r="G86" s="3"/>
      <c r="H86" s="3"/>
      <c r="I86" s="3"/>
      <c r="J86" s="3"/>
    </row>
    <row r="87" spans="2:10">
      <c r="B87" s="3"/>
      <c r="C87" s="3"/>
      <c r="D87" s="3"/>
      <c r="E87" s="3"/>
      <c r="F87" s="3"/>
      <c r="G87" s="3"/>
      <c r="H87" s="3"/>
      <c r="I87" s="3"/>
      <c r="J87" s="3"/>
    </row>
    <row r="88" spans="2:10">
      <c r="B88" s="3"/>
      <c r="C88" s="3"/>
      <c r="D88" s="3"/>
      <c r="E88" s="3"/>
      <c r="F88" s="3"/>
      <c r="G88" s="3"/>
      <c r="H88" s="3"/>
      <c r="I88" s="3"/>
      <c r="J88" s="3"/>
    </row>
    <row r="89" spans="2:10">
      <c r="B89" s="3"/>
      <c r="C89" s="3"/>
      <c r="D89" s="3"/>
      <c r="E89" s="3"/>
      <c r="F89" s="3"/>
      <c r="G89" s="3"/>
      <c r="H89" s="3"/>
      <c r="I89" s="3"/>
      <c r="J89" s="3"/>
    </row>
    <row r="90" spans="2:10">
      <c r="B90" s="3"/>
      <c r="C90" s="3"/>
      <c r="D90" s="3"/>
      <c r="E90" s="3"/>
      <c r="F90" s="3"/>
      <c r="G90" s="3"/>
      <c r="H90" s="3"/>
      <c r="I90" s="3"/>
      <c r="J90" s="3"/>
    </row>
    <row r="91" spans="2:10">
      <c r="B91" s="3"/>
      <c r="C91" s="3"/>
      <c r="D91" s="3"/>
      <c r="E91" s="3"/>
      <c r="F91" s="3"/>
      <c r="G91" s="3"/>
      <c r="H91" s="3"/>
      <c r="I91" s="3"/>
      <c r="J91" s="3"/>
    </row>
    <row r="92" spans="2:10">
      <c r="B92" s="3"/>
      <c r="C92" s="3"/>
      <c r="D92" s="3"/>
      <c r="E92" s="3"/>
      <c r="F92" s="3"/>
      <c r="G92" s="3"/>
      <c r="H92" s="3"/>
      <c r="I92" s="3"/>
      <c r="J92" s="3"/>
    </row>
    <row r="93" spans="2:10">
      <c r="B93" s="3"/>
      <c r="C93" s="3"/>
      <c r="D93" s="3"/>
      <c r="E93" s="3"/>
      <c r="F93" s="3"/>
      <c r="G93" s="3"/>
      <c r="H93" s="3"/>
      <c r="I93" s="3"/>
      <c r="J93" s="3"/>
    </row>
    <row r="94" spans="2:10">
      <c r="B94" s="3"/>
      <c r="C94" s="3"/>
      <c r="D94" s="3"/>
      <c r="E94" s="3"/>
      <c r="F94" s="3"/>
      <c r="G94" s="3"/>
      <c r="H94" s="3"/>
      <c r="I94" s="3"/>
      <c r="J94" s="3"/>
    </row>
    <row r="95" spans="2:10">
      <c r="B95" s="3"/>
      <c r="C95" s="3"/>
      <c r="D95" s="3"/>
      <c r="E95" s="3"/>
      <c r="F95" s="3"/>
      <c r="G95" s="3"/>
      <c r="H95" s="3"/>
      <c r="I95" s="3"/>
      <c r="J95" s="3"/>
    </row>
    <row r="96" spans="2:10">
      <c r="B96" s="3"/>
      <c r="C96" s="3"/>
      <c r="D96" s="3"/>
      <c r="E96" s="3"/>
      <c r="F96" s="3"/>
      <c r="G96" s="3"/>
      <c r="H96" s="3"/>
      <c r="I96" s="3"/>
      <c r="J96" s="3"/>
    </row>
    <row r="97" spans="2:10">
      <c r="B97" s="3"/>
      <c r="C97" s="3"/>
      <c r="D97" s="3"/>
      <c r="E97" s="3"/>
      <c r="F97" s="3"/>
      <c r="G97" s="3"/>
      <c r="H97" s="3"/>
      <c r="I97" s="3"/>
      <c r="J97" s="3"/>
    </row>
    <row r="98" spans="2:10">
      <c r="B98" s="3"/>
      <c r="C98" s="3"/>
      <c r="D98" s="3"/>
      <c r="E98" s="3"/>
      <c r="F98" s="3"/>
      <c r="G98" s="3"/>
      <c r="H98" s="3"/>
      <c r="I98" s="3"/>
      <c r="J98" s="3"/>
    </row>
    <row r="99" spans="2:10">
      <c r="B99" s="3"/>
      <c r="C99" s="3"/>
      <c r="D99" s="3"/>
      <c r="E99" s="3"/>
      <c r="F99" s="3"/>
      <c r="G99" s="3"/>
      <c r="H99" s="3"/>
      <c r="I99" s="3"/>
      <c r="J99" s="3"/>
    </row>
    <row r="100" spans="2:10">
      <c r="B100" s="3"/>
      <c r="C100" s="3"/>
      <c r="D100" s="3"/>
      <c r="E100" s="3"/>
      <c r="F100" s="3"/>
      <c r="G100" s="3"/>
      <c r="H100" s="3"/>
      <c r="I100" s="3"/>
      <c r="J100" s="3"/>
    </row>
    <row r="101" spans="2:10">
      <c r="B101" s="3"/>
      <c r="C101" s="3"/>
      <c r="D101" s="3"/>
      <c r="E101" s="3"/>
      <c r="F101" s="3"/>
      <c r="G101" s="3"/>
      <c r="H101" s="3"/>
      <c r="I101" s="3"/>
      <c r="J101" s="3"/>
    </row>
    <row r="102" spans="2:10">
      <c r="B102" s="3"/>
      <c r="C102" s="3"/>
      <c r="D102" s="3"/>
      <c r="E102" s="3"/>
      <c r="F102" s="3"/>
      <c r="G102" s="3"/>
      <c r="H102" s="3"/>
      <c r="I102" s="3"/>
      <c r="J102" s="3"/>
    </row>
    <row r="103" spans="2:10">
      <c r="B103" s="3"/>
      <c r="C103" s="3"/>
      <c r="D103" s="3"/>
      <c r="E103" s="3"/>
      <c r="F103" s="3"/>
      <c r="G103" s="3"/>
      <c r="H103" s="3"/>
      <c r="I103" s="3"/>
      <c r="J103" s="3"/>
    </row>
    <row r="104" spans="2:10">
      <c r="B104" s="3"/>
      <c r="C104" s="3"/>
      <c r="D104" s="3"/>
      <c r="E104" s="3"/>
      <c r="F104" s="3"/>
      <c r="G104" s="3"/>
      <c r="H104" s="3"/>
      <c r="I104" s="3"/>
      <c r="J104" s="3"/>
    </row>
    <row r="105" spans="2:10">
      <c r="B105" s="3"/>
      <c r="C105" s="3"/>
      <c r="D105" s="3"/>
      <c r="E105" s="3"/>
      <c r="F105" s="3"/>
      <c r="G105" s="3"/>
      <c r="H105" s="3"/>
      <c r="I105" s="3"/>
      <c r="J105" s="3"/>
    </row>
    <row r="106" spans="2:10">
      <c r="B106" s="3"/>
      <c r="C106" s="3"/>
      <c r="D106" s="3"/>
      <c r="E106" s="3"/>
      <c r="F106" s="3"/>
      <c r="G106" s="3"/>
      <c r="H106" s="3"/>
      <c r="I106" s="3"/>
      <c r="J106" s="3"/>
    </row>
    <row r="107" spans="2:10">
      <c r="B107" s="3"/>
      <c r="C107" s="3"/>
      <c r="D107" s="3"/>
      <c r="E107" s="3"/>
      <c r="F107" s="3"/>
      <c r="G107" s="3"/>
      <c r="H107" s="3"/>
      <c r="I107" s="3"/>
      <c r="J107" s="3"/>
    </row>
    <row r="108" spans="2:10">
      <c r="B108" s="3"/>
      <c r="C108" s="3"/>
      <c r="D108" s="3"/>
      <c r="E108" s="3"/>
      <c r="F108" s="3"/>
      <c r="G108" s="3"/>
      <c r="H108" s="3"/>
      <c r="I108" s="3"/>
      <c r="J108" s="3"/>
    </row>
    <row r="109" spans="2:10">
      <c r="B109" s="3"/>
      <c r="C109" s="3"/>
      <c r="D109" s="3"/>
      <c r="E109" s="3"/>
      <c r="F109" s="3"/>
      <c r="G109" s="3"/>
      <c r="H109" s="3"/>
      <c r="I109" s="3"/>
      <c r="J109" s="3"/>
    </row>
    <row r="110" spans="2:10">
      <c r="B110" s="3"/>
      <c r="C110" s="3"/>
      <c r="D110" s="3"/>
      <c r="E110" s="3"/>
      <c r="F110" s="3"/>
      <c r="G110" s="3"/>
      <c r="H110" s="3"/>
      <c r="I110" s="3"/>
      <c r="J110" s="3"/>
    </row>
    <row r="111" spans="2:10">
      <c r="B111" s="3"/>
      <c r="C111" s="3"/>
      <c r="D111" s="3"/>
      <c r="E111" s="3"/>
      <c r="F111" s="3"/>
      <c r="G111" s="3"/>
      <c r="H111" s="3"/>
      <c r="I111" s="3"/>
      <c r="J111" s="3"/>
    </row>
    <row r="112" spans="2:10">
      <c r="B112" s="3"/>
      <c r="C112" s="3"/>
      <c r="D112" s="3"/>
      <c r="E112" s="3"/>
      <c r="F112" s="3"/>
      <c r="G112" s="3"/>
      <c r="H112" s="3"/>
      <c r="I112" s="3"/>
      <c r="J112" s="3"/>
    </row>
    <row r="113" spans="2:10">
      <c r="B113" s="3"/>
      <c r="C113" s="3"/>
      <c r="D113" s="3"/>
      <c r="E113" s="3"/>
      <c r="F113" s="3"/>
      <c r="G113" s="3"/>
      <c r="H113" s="3"/>
      <c r="I113" s="3"/>
      <c r="J113" s="3"/>
    </row>
    <row r="114" spans="2:10">
      <c r="B114" s="3"/>
      <c r="C114" s="3"/>
      <c r="D114" s="3"/>
      <c r="E114" s="3"/>
      <c r="F114" s="3"/>
      <c r="G114" s="3"/>
      <c r="H114" s="3"/>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ht="14.25" customHeight="1">
      <c r="B189" s="3"/>
      <c r="C189" s="3"/>
      <c r="D189" s="3"/>
      <c r="E189" s="3"/>
      <c r="F189" s="3"/>
      <c r="G189" s="3"/>
      <c r="H189" s="3"/>
      <c r="I189" s="3"/>
      <c r="J189" s="3"/>
    </row>
    <row r="190" spans="2:10" ht="12.75" customHeight="1">
      <c r="B190" s="3"/>
      <c r="C190" s="3"/>
      <c r="D190" s="3"/>
      <c r="E190" s="3"/>
      <c r="F190" s="3"/>
      <c r="G190" s="3"/>
      <c r="H190" s="3"/>
      <c r="I190" s="3"/>
      <c r="J190" s="3"/>
    </row>
    <row r="191" spans="2:10" ht="12.75" customHeight="1">
      <c r="B191" s="3"/>
      <c r="C191" s="3"/>
      <c r="D191" s="3"/>
      <c r="E191" s="3"/>
      <c r="F191" s="3"/>
      <c r="G191" s="3"/>
      <c r="H191" s="3"/>
      <c r="I191" s="3"/>
      <c r="J191" s="3"/>
    </row>
    <row r="192" spans="2:10" ht="12.75" customHeight="1">
      <c r="B192" s="3"/>
      <c r="C192" s="3"/>
      <c r="D192" s="3"/>
      <c r="E192" s="3"/>
      <c r="F192" s="3"/>
      <c r="G192" s="3"/>
      <c r="H192" s="3"/>
      <c r="I192" s="3"/>
      <c r="J192" s="3"/>
    </row>
    <row r="193" spans="2:10" ht="12.75" customHeight="1">
      <c r="B193" s="3"/>
      <c r="C193" s="3"/>
      <c r="D193" s="3"/>
      <c r="E193" s="3"/>
      <c r="F193" s="3"/>
      <c r="G193" s="3"/>
      <c r="H193" s="3"/>
      <c r="I193" s="3"/>
      <c r="J193" s="3"/>
    </row>
    <row r="194" spans="2:10" ht="12.75" customHeight="1">
      <c r="B194" s="3"/>
      <c r="C194" s="3"/>
      <c r="D194" s="3"/>
      <c r="E194" s="3"/>
      <c r="F194" s="3"/>
      <c r="G194" s="3"/>
      <c r="H194" s="3"/>
      <c r="I194" s="3"/>
      <c r="J194" s="3"/>
    </row>
    <row r="195" spans="2:10" ht="12.75" customHeight="1">
      <c r="B195" s="3"/>
      <c r="C195" s="3"/>
      <c r="D195" s="3"/>
      <c r="E195" s="3"/>
      <c r="F195" s="3"/>
      <c r="G195" s="3"/>
      <c r="H195" s="3"/>
      <c r="I195" s="3"/>
      <c r="J195" s="3"/>
    </row>
    <row r="196" spans="2:10" ht="12.75" customHeight="1">
      <c r="B196" s="3"/>
      <c r="C196" s="3"/>
      <c r="D196" s="3"/>
      <c r="E196" s="3"/>
      <c r="F196" s="3"/>
      <c r="G196" s="3"/>
      <c r="H196" s="3"/>
      <c r="I196" s="3"/>
      <c r="J196" s="3"/>
    </row>
    <row r="197" spans="2:10" ht="12.75" customHeight="1">
      <c r="B197" s="3"/>
      <c r="C197" s="3"/>
      <c r="D197" s="3"/>
      <c r="E197" s="3"/>
      <c r="F197" s="3"/>
      <c r="G197" s="3"/>
      <c r="H197" s="3"/>
      <c r="I197" s="3"/>
      <c r="J197" s="3"/>
    </row>
    <row r="198" spans="2:10" ht="12.75" customHeight="1">
      <c r="B198" s="3"/>
      <c r="C198" s="3"/>
      <c r="D198" s="3"/>
      <c r="E198" s="3"/>
      <c r="F198" s="3"/>
      <c r="G198" s="3"/>
      <c r="H198" s="3"/>
      <c r="I198" s="3"/>
      <c r="J198" s="3"/>
    </row>
    <row r="199" spans="2:10" ht="12.75" customHeight="1">
      <c r="B199" s="3"/>
      <c r="C199" s="3"/>
      <c r="D199" s="3"/>
      <c r="E199" s="3"/>
      <c r="F199" s="3"/>
      <c r="G199" s="3"/>
      <c r="H199" s="3"/>
      <c r="I199" s="3"/>
      <c r="J199" s="3"/>
    </row>
    <row r="200" spans="2:10" ht="12.75" customHeight="1">
      <c r="B200" s="3"/>
      <c r="C200" s="3"/>
      <c r="D200" s="3"/>
      <c r="E200" s="3"/>
      <c r="F200" s="3"/>
      <c r="G200" s="3"/>
      <c r="H200" s="3"/>
      <c r="I200" s="3"/>
      <c r="J200" s="3"/>
    </row>
    <row r="201" spans="2:10" ht="12.75" customHeight="1">
      <c r="B201" s="3"/>
      <c r="C201" s="3"/>
      <c r="D201" s="3"/>
      <c r="E201" s="3"/>
      <c r="F201" s="3"/>
      <c r="G201" s="3"/>
      <c r="H201" s="3"/>
      <c r="I201" s="3"/>
      <c r="J201" s="3"/>
    </row>
    <row r="202" spans="2:10" ht="12.75" customHeight="1">
      <c r="B202" s="3"/>
      <c r="C202" s="3"/>
      <c r="D202" s="3"/>
      <c r="E202" s="3"/>
      <c r="F202" s="3"/>
      <c r="G202" s="3"/>
      <c r="H202" s="3"/>
      <c r="I202" s="3"/>
      <c r="J202" s="3"/>
    </row>
    <row r="203" spans="2:10" ht="12.75" customHeight="1">
      <c r="B203" s="3"/>
      <c r="C203" s="3"/>
      <c r="D203" s="3"/>
      <c r="E203" s="3"/>
      <c r="F203" s="3"/>
      <c r="G203" s="3"/>
      <c r="H203" s="3"/>
      <c r="I203" s="3"/>
      <c r="J203" s="3"/>
    </row>
    <row r="204" spans="2:10" ht="12.75" customHeight="1">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sheetData>
  <mergeCells count="8">
    <mergeCell ref="C55:G55"/>
    <mergeCell ref="A3:I3"/>
    <mergeCell ref="A4:I4"/>
    <mergeCell ref="A5:I5"/>
    <mergeCell ref="E10:E11"/>
    <mergeCell ref="A6:I6"/>
    <mergeCell ref="G10:G11"/>
    <mergeCell ref="I10:I11"/>
  </mergeCells>
  <phoneticPr fontId="0" type="noConversion"/>
  <pageMargins left="0.26" right="1.28" top="1" bottom="1" header="0.75" footer="0.5"/>
  <pageSetup scale="55" orientation="portrait" r:id="rId1"/>
  <headerFooter alignWithMargins="0">
    <oddHeader>&amp;R&amp;"Arial,Bold"Formula Rate
 &amp;A
Page &amp;P of &amp;N</oddHeader>
  </headerFooter>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84"/>
  <sheetViews>
    <sheetView tabSelected="1" view="pageBreakPreview" topLeftCell="A30" zoomScale="85" zoomScaleNormal="50" zoomScaleSheetLayoutView="85" workbookViewId="0">
      <selection activeCell="O54" sqref="O54"/>
    </sheetView>
  </sheetViews>
  <sheetFormatPr defaultRowHeight="12.75"/>
  <cols>
    <col min="1" max="1" width="6.85546875" style="750" customWidth="1"/>
    <col min="2" max="2" width="57.7109375" style="749" bestFit="1" customWidth="1"/>
    <col min="3" max="4" width="14.85546875" style="749" customWidth="1"/>
    <col min="5" max="6" width="14.28515625" style="749" customWidth="1"/>
    <col min="7" max="7" width="15.28515625" style="749" bestFit="1" customWidth="1"/>
    <col min="8" max="8" width="9.140625" style="749"/>
    <col min="9" max="9" width="13.140625" style="749" bestFit="1" customWidth="1"/>
    <col min="10" max="10" width="15" style="749" bestFit="1" customWidth="1"/>
    <col min="11" max="11" width="13.5703125" style="749" bestFit="1" customWidth="1"/>
    <col min="12" max="12" width="9.140625" style="749"/>
    <col min="13" max="13" width="13.140625" style="749" bestFit="1" customWidth="1"/>
    <col min="14" max="14" width="15" style="749" bestFit="1" customWidth="1"/>
    <col min="15" max="15" width="13.5703125" style="749" bestFit="1" customWidth="1"/>
    <col min="16" max="16" width="9.140625" style="749"/>
    <col min="17" max="17" width="13.140625" style="749" bestFit="1" customWidth="1"/>
    <col min="18" max="18" width="15" style="749" bestFit="1" customWidth="1"/>
    <col min="19" max="19" width="13.5703125" style="749" bestFit="1" customWidth="1"/>
    <col min="20" max="16384" width="9.140625" style="749"/>
  </cols>
  <sheetData>
    <row r="1" spans="1:19">
      <c r="A1" s="764"/>
      <c r="B1" s="778" t="str">
        <f>TCOS!F9</f>
        <v>AEP Indiana Michigan Transmission Company</v>
      </c>
      <c r="C1" s="753"/>
      <c r="D1" s="753"/>
      <c r="E1" s="753"/>
      <c r="F1" s="753"/>
      <c r="M1" s="753"/>
      <c r="N1" s="753"/>
      <c r="O1" s="753"/>
      <c r="P1" s="753"/>
      <c r="Q1" s="753"/>
      <c r="R1" s="753"/>
    </row>
    <row r="2" spans="1:19">
      <c r="A2" s="764"/>
      <c r="B2" s="752" t="s">
        <v>641</v>
      </c>
      <c r="C2" s="753"/>
      <c r="D2" s="753"/>
      <c r="E2" s="753"/>
      <c r="F2" s="753"/>
      <c r="M2" s="753"/>
      <c r="N2" s="753"/>
      <c r="O2" s="753"/>
      <c r="P2" s="753"/>
      <c r="Q2" s="753"/>
      <c r="R2" s="753"/>
    </row>
    <row r="3" spans="1:19">
      <c r="A3" s="764"/>
      <c r="B3" s="752" t="str">
        <f>"PERIOD ENDED DECEMBER 31, "&amp;TCOS!L4</f>
        <v>PERIOD ENDED DECEMBER 31, 2025</v>
      </c>
      <c r="C3" s="753"/>
      <c r="D3" s="753"/>
      <c r="E3" s="753"/>
      <c r="F3" s="753"/>
      <c r="G3" s="753"/>
      <c r="H3" s="753"/>
      <c r="I3" s="753"/>
      <c r="J3" s="753"/>
      <c r="K3" s="753"/>
      <c r="L3" s="753"/>
      <c r="M3" s="753"/>
      <c r="N3" s="753"/>
      <c r="O3" s="753"/>
      <c r="P3" s="753"/>
      <c r="Q3" s="753"/>
      <c r="R3" s="753"/>
      <c r="S3" s="753"/>
    </row>
    <row r="4" spans="1:19">
      <c r="A4" s="764"/>
      <c r="B4" s="753"/>
      <c r="C4" s="753"/>
      <c r="D4" s="753"/>
      <c r="E4" s="753"/>
      <c r="F4" s="753"/>
      <c r="G4" s="750" t="s">
        <v>642</v>
      </c>
      <c r="H4" s="750"/>
      <c r="I4" s="750"/>
      <c r="J4" s="750"/>
      <c r="K4" s="750"/>
      <c r="L4" s="750"/>
      <c r="M4" s="753"/>
      <c r="N4" s="753"/>
      <c r="O4" s="753"/>
      <c r="P4" s="753"/>
      <c r="Q4" s="753"/>
      <c r="R4" s="753"/>
      <c r="S4" s="753"/>
    </row>
    <row r="5" spans="1:19">
      <c r="A5" s="764"/>
      <c r="B5" s="753"/>
      <c r="C5" s="753"/>
      <c r="D5" s="753"/>
      <c r="E5" s="753"/>
      <c r="F5" s="753"/>
      <c r="G5" s="753"/>
      <c r="H5" s="753"/>
      <c r="I5" s="753"/>
      <c r="J5" s="753"/>
      <c r="K5" s="753"/>
      <c r="L5" s="753"/>
      <c r="M5" s="753"/>
      <c r="N5" s="753"/>
      <c r="O5" s="753"/>
      <c r="P5" s="753"/>
      <c r="Q5" s="753"/>
      <c r="R5" s="753"/>
      <c r="S5" s="753"/>
    </row>
    <row r="6" spans="1:19">
      <c r="A6" s="764"/>
      <c r="B6" s="753"/>
      <c r="C6" s="753"/>
      <c r="D6" s="753"/>
      <c r="E6" s="753"/>
      <c r="F6" s="753"/>
      <c r="G6" s="753"/>
      <c r="H6" s="753"/>
      <c r="I6" s="753"/>
      <c r="J6" s="753"/>
      <c r="K6" s="753"/>
      <c r="L6" s="753"/>
      <c r="M6" s="753"/>
      <c r="N6" s="753"/>
      <c r="O6" s="753"/>
      <c r="P6" s="753"/>
      <c r="Q6" s="753"/>
      <c r="R6" s="753"/>
      <c r="S6" s="753"/>
    </row>
    <row r="7" spans="1:19">
      <c r="A7" s="764"/>
      <c r="B7" s="753"/>
      <c r="C7" s="753"/>
      <c r="D7" s="753"/>
      <c r="E7" s="753"/>
      <c r="F7" s="753"/>
      <c r="G7" s="753"/>
      <c r="H7" s="753"/>
      <c r="I7" s="753"/>
      <c r="J7" s="753"/>
      <c r="K7" s="753"/>
      <c r="L7" s="753"/>
      <c r="M7" s="753"/>
      <c r="N7" s="753"/>
      <c r="O7" s="753"/>
      <c r="P7" s="753"/>
      <c r="Q7" s="753"/>
      <c r="R7" s="753"/>
      <c r="S7" s="753"/>
    </row>
    <row r="8" spans="1:19">
      <c r="A8" s="764"/>
      <c r="B8" s="754" t="s">
        <v>643</v>
      </c>
      <c r="C8" s="754" t="s">
        <v>644</v>
      </c>
      <c r="D8" s="754" t="s">
        <v>645</v>
      </c>
      <c r="E8" s="754" t="s">
        <v>646</v>
      </c>
      <c r="F8" s="754" t="s">
        <v>647</v>
      </c>
      <c r="G8" s="754" t="s">
        <v>648</v>
      </c>
      <c r="H8" s="754"/>
      <c r="I8" s="754" t="s">
        <v>649</v>
      </c>
      <c r="J8" s="754" t="s">
        <v>650</v>
      </c>
      <c r="K8" s="754" t="s">
        <v>651</v>
      </c>
      <c r="L8" s="754"/>
      <c r="M8" s="754" t="s">
        <v>652</v>
      </c>
      <c r="N8" s="754" t="s">
        <v>653</v>
      </c>
      <c r="O8" s="754" t="s">
        <v>654</v>
      </c>
      <c r="P8" s="753"/>
      <c r="Q8" s="754" t="s">
        <v>655</v>
      </c>
      <c r="R8" s="754" t="s">
        <v>656</v>
      </c>
      <c r="S8" s="754" t="s">
        <v>657</v>
      </c>
    </row>
    <row r="9" spans="1:19">
      <c r="A9" s="764"/>
      <c r="B9" s="753"/>
      <c r="C9" s="753"/>
      <c r="D9" s="753"/>
      <c r="E9" s="753"/>
      <c r="F9" s="753"/>
      <c r="G9" s="753"/>
      <c r="H9" s="753"/>
      <c r="I9" s="753"/>
      <c r="J9" s="753"/>
      <c r="K9" s="753"/>
      <c r="L9" s="753"/>
      <c r="M9" s="753"/>
      <c r="N9" s="753"/>
      <c r="O9" s="753"/>
      <c r="P9" s="753"/>
      <c r="Q9" s="753"/>
      <c r="R9" s="753"/>
      <c r="S9" s="753"/>
    </row>
    <row r="10" spans="1:19">
      <c r="A10" s="764"/>
      <c r="B10" s="753"/>
      <c r="C10" s="755" t="s">
        <v>658</v>
      </c>
      <c r="D10" s="755"/>
      <c r="E10" s="756" t="s">
        <v>659</v>
      </c>
      <c r="F10" s="755"/>
      <c r="G10" s="750" t="s">
        <v>660</v>
      </c>
      <c r="H10" s="750"/>
      <c r="I10" s="755" t="s">
        <v>661</v>
      </c>
      <c r="J10" s="755"/>
      <c r="K10" s="755"/>
      <c r="L10" s="750"/>
      <c r="M10" s="755" t="str">
        <f>"FUNCTIONALIZATION 12/31/"&amp;TCOS!L4-1</f>
        <v>FUNCTIONALIZATION 12/31/2024</v>
      </c>
      <c r="N10" s="755"/>
      <c r="O10" s="755"/>
      <c r="P10" s="753"/>
      <c r="Q10" s="755" t="str">
        <f>"FUNCTIONALIZATION 12/31/"&amp;TCOS!L4</f>
        <v>FUNCTIONALIZATION 12/31/2025</v>
      </c>
      <c r="R10" s="755"/>
      <c r="S10" s="755"/>
    </row>
    <row r="11" spans="1:19">
      <c r="A11" s="764"/>
      <c r="B11" s="753"/>
      <c r="C11" s="757"/>
      <c r="D11" s="757"/>
      <c r="E11" s="753"/>
      <c r="F11" s="753"/>
      <c r="G11" s="750" t="s">
        <v>662</v>
      </c>
      <c r="H11" s="750"/>
      <c r="I11" s="757"/>
      <c r="J11" s="757"/>
      <c r="K11" s="757"/>
      <c r="L11" s="750"/>
      <c r="M11" s="757"/>
      <c r="N11" s="757"/>
      <c r="O11" s="757"/>
      <c r="P11" s="753"/>
      <c r="Q11" s="757"/>
      <c r="R11" s="757"/>
      <c r="S11" s="757"/>
    </row>
    <row r="12" spans="1:19" s="774" customFormat="1">
      <c r="A12" s="775"/>
      <c r="B12" s="773"/>
      <c r="C12" s="776" t="s">
        <v>663</v>
      </c>
      <c r="D12" s="776" t="s">
        <v>663</v>
      </c>
      <c r="E12" s="776" t="s">
        <v>663</v>
      </c>
      <c r="F12" s="776" t="s">
        <v>663</v>
      </c>
      <c r="G12" s="776" t="s">
        <v>664</v>
      </c>
      <c r="H12" s="776"/>
      <c r="I12" s="773"/>
      <c r="J12" s="773"/>
      <c r="K12" s="773"/>
      <c r="L12" s="776"/>
      <c r="M12" s="773"/>
      <c r="N12" s="773"/>
      <c r="O12" s="773"/>
      <c r="P12" s="773"/>
      <c r="Q12" s="773"/>
      <c r="R12" s="773"/>
      <c r="S12" s="773"/>
    </row>
    <row r="13" spans="1:19" s="774" customFormat="1">
      <c r="A13" s="775"/>
      <c r="B13" s="777" t="s">
        <v>665</v>
      </c>
      <c r="C13" s="777" t="str">
        <f>"OF 12-31-"&amp;TCOS!L4-1</f>
        <v>OF 12-31-2024</v>
      </c>
      <c r="D13" s="777" t="str">
        <f>"OF 12-31-"&amp;TCOS!L4</f>
        <v>OF 12-31-2025</v>
      </c>
      <c r="E13" s="777" t="str">
        <f>"OF 12-31-"&amp;TCOS!L4-1</f>
        <v>OF 12-31-2024</v>
      </c>
      <c r="F13" s="777" t="str">
        <f>"OF 12-31-"&amp;TCOS!L4</f>
        <v>OF 12-31-2025</v>
      </c>
      <c r="G13" s="777" t="s">
        <v>666</v>
      </c>
      <c r="H13" s="777"/>
      <c r="I13" s="777" t="s">
        <v>667</v>
      </c>
      <c r="J13" s="777" t="s">
        <v>668</v>
      </c>
      <c r="K13" s="777" t="s">
        <v>669</v>
      </c>
      <c r="L13" s="777"/>
      <c r="M13" s="777" t="s">
        <v>667</v>
      </c>
      <c r="N13" s="777" t="s">
        <v>668</v>
      </c>
      <c r="O13" s="777" t="s">
        <v>669</v>
      </c>
      <c r="P13" s="773"/>
      <c r="Q13" s="777" t="s">
        <v>667</v>
      </c>
      <c r="R13" s="777" t="s">
        <v>668</v>
      </c>
      <c r="S13" s="777" t="s">
        <v>669</v>
      </c>
    </row>
    <row r="14" spans="1:19">
      <c r="A14" s="764"/>
      <c r="B14" s="753"/>
      <c r="C14" s="753"/>
      <c r="D14" s="753"/>
      <c r="E14" s="753"/>
      <c r="F14" s="753"/>
      <c r="G14" s="753"/>
      <c r="H14" s="753"/>
      <c r="I14" s="753"/>
      <c r="J14" s="753"/>
      <c r="K14" s="753"/>
      <c r="L14" s="753"/>
      <c r="M14" s="753"/>
      <c r="N14" s="753"/>
      <c r="O14" s="753"/>
      <c r="P14" s="753"/>
      <c r="Q14" s="753"/>
      <c r="R14" s="753"/>
      <c r="S14" s="753"/>
    </row>
    <row r="15" spans="1:19">
      <c r="A15" s="772">
        <v>1</v>
      </c>
      <c r="B15" s="751" t="s">
        <v>670</v>
      </c>
      <c r="C15" s="759"/>
      <c r="D15" s="759"/>
      <c r="E15" s="759"/>
      <c r="F15" s="760"/>
      <c r="G15" s="759"/>
      <c r="H15" s="759"/>
      <c r="I15" s="759"/>
      <c r="J15" s="759"/>
      <c r="K15" s="759"/>
      <c r="L15" s="759"/>
      <c r="M15" s="759"/>
      <c r="N15" s="759"/>
      <c r="O15" s="759"/>
      <c r="P15" s="759"/>
      <c r="Q15" s="759"/>
      <c r="R15" s="759"/>
      <c r="S15" s="759"/>
    </row>
    <row r="16" spans="1:19">
      <c r="A16" s="772">
        <v>2.0099999999999998</v>
      </c>
      <c r="B16" s="751"/>
      <c r="C16" s="759"/>
      <c r="D16" s="759"/>
      <c r="E16" s="759"/>
      <c r="F16" s="759"/>
      <c r="G16" s="759"/>
      <c r="H16" s="759"/>
      <c r="I16" s="759"/>
      <c r="J16" s="759"/>
      <c r="K16" s="759"/>
      <c r="L16" s="759"/>
      <c r="M16" s="759"/>
      <c r="N16" s="759"/>
      <c r="O16" s="759"/>
      <c r="P16" s="759"/>
      <c r="Q16" s="759"/>
      <c r="R16" s="759"/>
      <c r="S16" s="759"/>
    </row>
    <row r="17" spans="1:19">
      <c r="A17" s="772">
        <v>2.02</v>
      </c>
      <c r="B17" s="751"/>
      <c r="C17" s="759">
        <f>SUM(M17:O17)</f>
        <v>0</v>
      </c>
      <c r="D17" s="759">
        <f>SUM(Q17:S17)</f>
        <v>0</v>
      </c>
      <c r="E17" s="759"/>
      <c r="F17" s="759"/>
      <c r="G17" s="759">
        <f>ROUND(SUM(C17:F17)/2,0)</f>
        <v>0</v>
      </c>
      <c r="H17" s="759"/>
      <c r="I17" s="759">
        <f>(M17+Q17)/2</f>
        <v>0</v>
      </c>
      <c r="J17" s="759">
        <f>(N17+R17)/2</f>
        <v>0</v>
      </c>
      <c r="K17" s="759">
        <f>(O17+S17)/2</f>
        <v>0</v>
      </c>
      <c r="L17" s="759"/>
      <c r="M17" s="751"/>
      <c r="N17" s="751"/>
      <c r="O17" s="751"/>
      <c r="P17" s="759"/>
      <c r="Q17" s="751"/>
      <c r="R17" s="751"/>
      <c r="S17" s="751"/>
    </row>
    <row r="18" spans="1:19">
      <c r="A18" s="772">
        <v>2.0299999999999998</v>
      </c>
      <c r="B18" s="751"/>
      <c r="C18" s="759"/>
      <c r="D18" s="759"/>
      <c r="E18" s="759"/>
      <c r="F18" s="759"/>
      <c r="G18" s="759"/>
      <c r="H18" s="759"/>
      <c r="I18" s="759"/>
      <c r="J18" s="759"/>
      <c r="K18" s="759"/>
      <c r="L18" s="759"/>
      <c r="M18" s="759"/>
      <c r="N18" s="759"/>
      <c r="O18" s="759"/>
      <c r="P18" s="759"/>
      <c r="Q18" s="759"/>
      <c r="R18" s="759"/>
      <c r="S18" s="759"/>
    </row>
    <row r="19" spans="1:19">
      <c r="A19" s="772">
        <v>2.04</v>
      </c>
      <c r="B19" s="751"/>
      <c r="C19" s="759">
        <v>0</v>
      </c>
      <c r="D19" s="759">
        <v>0</v>
      </c>
      <c r="E19" s="759">
        <f t="shared" ref="E19:F21" si="0">-C19</f>
        <v>0</v>
      </c>
      <c r="F19" s="759">
        <f t="shared" si="0"/>
        <v>0</v>
      </c>
      <c r="G19" s="759">
        <f>ROUND(SUM(C19:F19)/2,0)</f>
        <v>0</v>
      </c>
      <c r="H19" s="759"/>
      <c r="I19" s="759"/>
      <c r="J19" s="759"/>
      <c r="K19" s="759"/>
      <c r="L19" s="759"/>
      <c r="M19" s="759"/>
      <c r="N19" s="759"/>
      <c r="O19" s="759"/>
      <c r="P19" s="759"/>
      <c r="Q19" s="759"/>
      <c r="R19" s="759"/>
      <c r="S19" s="759"/>
    </row>
    <row r="20" spans="1:19">
      <c r="A20" s="772">
        <v>2.0499999999999998</v>
      </c>
      <c r="B20" s="751"/>
      <c r="C20" s="759">
        <v>0</v>
      </c>
      <c r="D20" s="759">
        <v>0</v>
      </c>
      <c r="E20" s="759">
        <f t="shared" si="0"/>
        <v>0</v>
      </c>
      <c r="F20" s="759">
        <f t="shared" si="0"/>
        <v>0</v>
      </c>
      <c r="G20" s="759">
        <f>ROUND(SUM(C20:F20)/2,0)</f>
        <v>0</v>
      </c>
      <c r="H20" s="759"/>
      <c r="I20" s="759"/>
      <c r="J20" s="759"/>
      <c r="K20" s="759"/>
      <c r="L20" s="759"/>
      <c r="M20" s="759"/>
      <c r="N20" s="759"/>
      <c r="O20" s="759"/>
      <c r="P20" s="759"/>
      <c r="Q20" s="759"/>
      <c r="R20" s="759"/>
      <c r="S20" s="759"/>
    </row>
    <row r="21" spans="1:19">
      <c r="A21" s="772">
        <v>2.06</v>
      </c>
      <c r="B21" s="751"/>
      <c r="C21" s="759">
        <v>0</v>
      </c>
      <c r="D21" s="759">
        <v>0</v>
      </c>
      <c r="E21" s="759">
        <f t="shared" si="0"/>
        <v>0</v>
      </c>
      <c r="F21" s="759">
        <f t="shared" si="0"/>
        <v>0</v>
      </c>
      <c r="G21" s="759">
        <f>ROUND(SUM(C21:F21)/2,0)</f>
        <v>0</v>
      </c>
      <c r="H21" s="759"/>
      <c r="I21" s="759"/>
      <c r="J21" s="759"/>
      <c r="K21" s="759"/>
      <c r="L21" s="759"/>
      <c r="M21" s="759"/>
      <c r="N21" s="759"/>
      <c r="O21" s="759"/>
      <c r="P21" s="759"/>
      <c r="Q21" s="759"/>
      <c r="R21" s="759"/>
      <c r="S21" s="759"/>
    </row>
    <row r="22" spans="1:19">
      <c r="A22" s="765"/>
      <c r="B22" s="753"/>
      <c r="C22" s="759"/>
      <c r="D22" s="759"/>
      <c r="E22" s="759"/>
      <c r="F22" s="759"/>
      <c r="G22" s="759"/>
      <c r="H22" s="759"/>
      <c r="I22" s="759"/>
      <c r="J22" s="759"/>
      <c r="K22" s="759"/>
      <c r="L22" s="759"/>
      <c r="M22" s="759"/>
      <c r="N22" s="759"/>
      <c r="O22" s="759"/>
      <c r="P22" s="759"/>
      <c r="Q22" s="759"/>
      <c r="R22" s="759"/>
      <c r="S22" s="759"/>
    </row>
    <row r="23" spans="1:19" ht="13.5" thickBot="1">
      <c r="A23" s="765">
        <v>3</v>
      </c>
      <c r="B23" s="749" t="s">
        <v>671</v>
      </c>
      <c r="C23" s="761">
        <f>SUM(C17:C22)</f>
        <v>0</v>
      </c>
      <c r="D23" s="761">
        <f>SUM(D17:D22)</f>
        <v>0</v>
      </c>
      <c r="E23" s="761">
        <f>SUM(E17:E22)</f>
        <v>0</v>
      </c>
      <c r="F23" s="761">
        <f>SUM(F17:F22)</f>
        <v>0</v>
      </c>
      <c r="G23" s="761">
        <f>SUM(G17:G22)</f>
        <v>0</v>
      </c>
      <c r="H23" s="759"/>
      <c r="I23" s="761">
        <f>SUM(I17:I22)</f>
        <v>0</v>
      </c>
      <c r="J23" s="761">
        <f>SUM(J17:J22)</f>
        <v>0</v>
      </c>
      <c r="K23" s="761">
        <f>SUM(K17:K22)</f>
        <v>0</v>
      </c>
      <c r="L23" s="759"/>
      <c r="M23" s="761">
        <f>SUM(M17:M22)</f>
        <v>0</v>
      </c>
      <c r="N23" s="761">
        <f>SUM(N17:N22)</f>
        <v>0</v>
      </c>
      <c r="O23" s="761">
        <f>SUM(O17:O22)</f>
        <v>0</v>
      </c>
      <c r="P23" s="759"/>
      <c r="Q23" s="761">
        <f>SUM(Q17:Q22)</f>
        <v>0</v>
      </c>
      <c r="R23" s="761">
        <f>SUM(R17:R22)</f>
        <v>0</v>
      </c>
      <c r="S23" s="761">
        <f>SUM(S17:S22)</f>
        <v>0</v>
      </c>
    </row>
    <row r="24" spans="1:19" ht="13.5" thickTop="1">
      <c r="A24" s="765">
        <f>A23+1</f>
        <v>4</v>
      </c>
      <c r="B24" s="753" t="s">
        <v>672</v>
      </c>
      <c r="C24" s="769">
        <v>0</v>
      </c>
      <c r="D24" s="769">
        <v>0</v>
      </c>
      <c r="E24" s="769">
        <v>0</v>
      </c>
      <c r="F24" s="769">
        <v>0</v>
      </c>
      <c r="G24" s="769">
        <v>0</v>
      </c>
      <c r="H24" s="770"/>
      <c r="I24" s="769">
        <v>0</v>
      </c>
      <c r="J24" s="769">
        <v>0</v>
      </c>
      <c r="K24" s="769">
        <v>0</v>
      </c>
      <c r="L24" s="770"/>
      <c r="M24" s="769">
        <v>0</v>
      </c>
      <c r="N24" s="769">
        <v>0</v>
      </c>
      <c r="O24" s="769">
        <v>0</v>
      </c>
      <c r="P24" s="770"/>
      <c r="Q24" s="769">
        <v>0</v>
      </c>
      <c r="R24" s="769">
        <v>0</v>
      </c>
      <c r="S24" s="769">
        <v>0</v>
      </c>
    </row>
    <row r="25" spans="1:19">
      <c r="A25" s="765"/>
      <c r="B25" s="753"/>
      <c r="C25" s="759"/>
      <c r="D25" s="759"/>
      <c r="E25" s="759"/>
      <c r="F25" s="759"/>
      <c r="G25" s="759"/>
      <c r="H25" s="759"/>
      <c r="I25" s="759"/>
      <c r="J25" s="759"/>
      <c r="K25" s="759"/>
      <c r="L25" s="759"/>
      <c r="M25" s="759"/>
      <c r="N25" s="759"/>
      <c r="O25" s="759"/>
      <c r="P25" s="759"/>
      <c r="Q25" s="759"/>
      <c r="R25" s="759"/>
      <c r="S25" s="759"/>
    </row>
    <row r="26" spans="1:19">
      <c r="A26" s="765">
        <v>5</v>
      </c>
      <c r="B26" s="749" t="s">
        <v>673</v>
      </c>
      <c r="C26" s="759"/>
      <c r="D26" s="759"/>
      <c r="E26" s="759"/>
      <c r="F26" s="759"/>
      <c r="G26" s="759"/>
      <c r="H26" s="759"/>
      <c r="I26" s="759"/>
      <c r="J26" s="759"/>
      <c r="K26" s="759"/>
      <c r="L26" s="759"/>
      <c r="M26" s="759"/>
      <c r="N26" s="759"/>
      <c r="O26" s="759"/>
      <c r="P26" s="759"/>
      <c r="Q26" s="759"/>
      <c r="R26" s="759"/>
      <c r="S26" s="759"/>
    </row>
    <row r="27" spans="1:19">
      <c r="A27" s="771"/>
      <c r="B27" s="753"/>
      <c r="C27" s="759"/>
      <c r="D27" s="759"/>
      <c r="E27" s="759"/>
      <c r="F27" s="759"/>
      <c r="G27" s="759"/>
      <c r="H27" s="759"/>
      <c r="I27" s="759"/>
      <c r="J27" s="759"/>
      <c r="K27" s="759"/>
      <c r="L27" s="759"/>
      <c r="M27" s="759"/>
      <c r="N27" s="759"/>
      <c r="O27" s="759"/>
      <c r="P27" s="759"/>
      <c r="Q27" s="759"/>
      <c r="R27" s="759"/>
      <c r="S27" s="759"/>
    </row>
    <row r="28" spans="1:19">
      <c r="A28" s="772">
        <v>5.01</v>
      </c>
      <c r="B28" s="751" t="s">
        <v>1023</v>
      </c>
      <c r="C28" s="759">
        <f t="shared" ref="C28:C40" si="1">SUM(M28:O28)</f>
        <v>103930162.84</v>
      </c>
      <c r="D28" s="759">
        <f t="shared" ref="D28:D40" si="2">SUM(Q28:S28)</f>
        <v>106251891.84</v>
      </c>
      <c r="E28" s="759"/>
      <c r="F28" s="759"/>
      <c r="G28" s="759">
        <f t="shared" ref="G28:G40" si="3">ROUND(SUM(C28:F28)/2,0)</f>
        <v>105091027</v>
      </c>
      <c r="H28" s="759"/>
      <c r="I28" s="759">
        <f t="shared" ref="I28:I40" si="4">(M28+Q28)/2</f>
        <v>0</v>
      </c>
      <c r="J28" s="759">
        <f t="shared" ref="J28:J40" si="5">(N28+R28)/2</f>
        <v>105091027.34</v>
      </c>
      <c r="K28" s="759">
        <f t="shared" ref="K28:K40" si="6">(O28+S28)/2</f>
        <v>0</v>
      </c>
      <c r="L28" s="759"/>
      <c r="M28" s="751"/>
      <c r="N28" s="751">
        <v>103930162.84</v>
      </c>
      <c r="O28" s="751"/>
      <c r="P28" s="759"/>
      <c r="Q28" s="751"/>
      <c r="R28" s="751">
        <v>106251891.84</v>
      </c>
      <c r="S28" s="751"/>
    </row>
    <row r="29" spans="1:19">
      <c r="A29" s="772">
        <f t="shared" ref="A29:A46" si="7">A28+0.01</f>
        <v>5.0199999999999996</v>
      </c>
      <c r="B29" s="751" t="s">
        <v>1024</v>
      </c>
      <c r="C29" s="759">
        <f t="shared" si="1"/>
        <v>-785430.69000000006</v>
      </c>
      <c r="D29" s="759">
        <f t="shared" si="2"/>
        <v>-523621.69</v>
      </c>
      <c r="E29" s="759"/>
      <c r="F29" s="759"/>
      <c r="G29" s="759">
        <f t="shared" si="3"/>
        <v>-654526</v>
      </c>
      <c r="H29" s="759"/>
      <c r="I29" s="759">
        <f t="shared" si="4"/>
        <v>0</v>
      </c>
      <c r="J29" s="759">
        <f t="shared" si="5"/>
        <v>-654526.19000000006</v>
      </c>
      <c r="K29" s="759">
        <f t="shared" si="6"/>
        <v>0</v>
      </c>
      <c r="L29" s="759"/>
      <c r="M29" s="751"/>
      <c r="N29" s="751">
        <v>-785430.69000000006</v>
      </c>
      <c r="O29" s="751"/>
      <c r="P29" s="759"/>
      <c r="Q29" s="751"/>
      <c r="R29" s="751">
        <v>-523621.69</v>
      </c>
      <c r="S29" s="751"/>
    </row>
    <row r="30" spans="1:19">
      <c r="A30" s="772">
        <f t="shared" si="7"/>
        <v>5.0299999999999994</v>
      </c>
      <c r="B30" s="751" t="s">
        <v>1002</v>
      </c>
      <c r="C30" s="759">
        <f t="shared" si="1"/>
        <v>14734599.24</v>
      </c>
      <c r="D30" s="759">
        <f t="shared" si="2"/>
        <v>16003522.470000001</v>
      </c>
      <c r="E30" s="759"/>
      <c r="F30" s="759"/>
      <c r="G30" s="759">
        <f t="shared" si="3"/>
        <v>15369061</v>
      </c>
      <c r="H30" s="759"/>
      <c r="I30" s="759">
        <f t="shared" si="4"/>
        <v>0</v>
      </c>
      <c r="J30" s="759">
        <f t="shared" si="5"/>
        <v>15369060.855</v>
      </c>
      <c r="K30" s="759">
        <f t="shared" si="6"/>
        <v>0</v>
      </c>
      <c r="L30" s="759"/>
      <c r="M30" s="751"/>
      <c r="N30" s="751">
        <v>14734599.24</v>
      </c>
      <c r="O30" s="751"/>
      <c r="P30" s="759"/>
      <c r="Q30" s="751"/>
      <c r="R30" s="751">
        <v>16003522.470000001</v>
      </c>
      <c r="S30" s="751"/>
    </row>
    <row r="31" spans="1:19">
      <c r="A31" s="772">
        <f t="shared" si="7"/>
        <v>5.0399999999999991</v>
      </c>
      <c r="B31" s="751" t="s">
        <v>1003</v>
      </c>
      <c r="C31" s="759">
        <f t="shared" si="1"/>
        <v>-2984906.5700000003</v>
      </c>
      <c r="D31" s="759">
        <f t="shared" si="2"/>
        <v>-3398160.95</v>
      </c>
      <c r="E31" s="759"/>
      <c r="F31" s="759"/>
      <c r="G31" s="759">
        <f t="shared" si="3"/>
        <v>-3191534</v>
      </c>
      <c r="H31" s="759"/>
      <c r="I31" s="759">
        <f t="shared" si="4"/>
        <v>0</v>
      </c>
      <c r="J31" s="759">
        <f t="shared" si="5"/>
        <v>-3191533.7600000002</v>
      </c>
      <c r="K31" s="759">
        <f t="shared" si="6"/>
        <v>0</v>
      </c>
      <c r="L31" s="759"/>
      <c r="M31" s="751"/>
      <c r="N31" s="751">
        <v>-2984906.5700000003</v>
      </c>
      <c r="O31" s="751"/>
      <c r="P31" s="759"/>
      <c r="Q31" s="751"/>
      <c r="R31" s="751">
        <v>-3398160.95</v>
      </c>
      <c r="S31" s="751"/>
    </row>
    <row r="32" spans="1:19">
      <c r="A32" s="772">
        <f t="shared" si="7"/>
        <v>5.0499999999999989</v>
      </c>
      <c r="B32" s="751" t="s">
        <v>1004</v>
      </c>
      <c r="C32" s="759">
        <f t="shared" si="1"/>
        <v>438908.61</v>
      </c>
      <c r="D32" s="759">
        <f t="shared" si="2"/>
        <v>-2470606.3199999998</v>
      </c>
      <c r="E32" s="759"/>
      <c r="F32" s="759"/>
      <c r="G32" s="759">
        <f t="shared" si="3"/>
        <v>-1015849</v>
      </c>
      <c r="H32" s="759"/>
      <c r="I32" s="759">
        <f t="shared" si="4"/>
        <v>0</v>
      </c>
      <c r="J32" s="759">
        <f t="shared" si="5"/>
        <v>-1015848.855</v>
      </c>
      <c r="K32" s="759">
        <f t="shared" si="6"/>
        <v>0</v>
      </c>
      <c r="L32" s="759"/>
      <c r="M32" s="751"/>
      <c r="N32" s="751">
        <v>438908.61</v>
      </c>
      <c r="O32" s="751"/>
      <c r="P32" s="759"/>
      <c r="Q32" s="751"/>
      <c r="R32" s="751">
        <v>-2470606.3199999998</v>
      </c>
      <c r="S32" s="751"/>
    </row>
    <row r="33" spans="1:19">
      <c r="A33" s="772">
        <f t="shared" si="7"/>
        <v>5.0599999999999987</v>
      </c>
      <c r="B33" s="751" t="s">
        <v>1005</v>
      </c>
      <c r="C33" s="759">
        <f t="shared" si="1"/>
        <v>-30565275.530000001</v>
      </c>
      <c r="D33" s="759">
        <f t="shared" si="2"/>
        <v>-33207199.66</v>
      </c>
      <c r="E33" s="759"/>
      <c r="F33" s="759"/>
      <c r="G33" s="759">
        <f t="shared" si="3"/>
        <v>-31886238</v>
      </c>
      <c r="H33" s="759"/>
      <c r="I33" s="759">
        <f t="shared" si="4"/>
        <v>0</v>
      </c>
      <c r="J33" s="759">
        <f t="shared" si="5"/>
        <v>-31886237.594999999</v>
      </c>
      <c r="K33" s="759">
        <f t="shared" si="6"/>
        <v>0</v>
      </c>
      <c r="L33" s="759"/>
      <c r="M33" s="751"/>
      <c r="N33" s="751">
        <v>-30565275.530000001</v>
      </c>
      <c r="O33" s="751"/>
      <c r="P33" s="759"/>
      <c r="Q33" s="751"/>
      <c r="R33" s="751">
        <v>-33207199.66</v>
      </c>
      <c r="S33" s="751"/>
    </row>
    <row r="34" spans="1:19">
      <c r="A34" s="772">
        <f t="shared" si="7"/>
        <v>5.0699999999999985</v>
      </c>
      <c r="B34" s="751" t="s">
        <v>1006</v>
      </c>
      <c r="C34" s="759">
        <f t="shared" si="1"/>
        <v>304527839.60000002</v>
      </c>
      <c r="D34" s="759">
        <f t="shared" si="2"/>
        <v>325863921.92000002</v>
      </c>
      <c r="E34" s="759"/>
      <c r="F34" s="759"/>
      <c r="G34" s="759">
        <f t="shared" si="3"/>
        <v>315195881</v>
      </c>
      <c r="H34" s="759"/>
      <c r="I34" s="759">
        <f t="shared" si="4"/>
        <v>0</v>
      </c>
      <c r="J34" s="759">
        <f t="shared" si="5"/>
        <v>315195880.75999999</v>
      </c>
      <c r="K34" s="759">
        <f t="shared" si="6"/>
        <v>0</v>
      </c>
      <c r="L34" s="759"/>
      <c r="M34" s="751"/>
      <c r="N34" s="751">
        <v>304527839.60000002</v>
      </c>
      <c r="O34" s="751"/>
      <c r="P34" s="759"/>
      <c r="Q34" s="751"/>
      <c r="R34" s="751">
        <v>325863921.92000002</v>
      </c>
      <c r="S34" s="751"/>
    </row>
    <row r="35" spans="1:19">
      <c r="A35" s="772">
        <f t="shared" si="7"/>
        <v>5.0799999999999983</v>
      </c>
      <c r="B35" s="751" t="s">
        <v>1007</v>
      </c>
      <c r="C35" s="759">
        <f t="shared" si="1"/>
        <v>39874.800000000003</v>
      </c>
      <c r="D35" s="759">
        <f t="shared" si="2"/>
        <v>39874.800000000003</v>
      </c>
      <c r="E35" s="759"/>
      <c r="F35" s="759"/>
      <c r="G35" s="759">
        <f t="shared" si="3"/>
        <v>39875</v>
      </c>
      <c r="H35" s="759"/>
      <c r="I35" s="759">
        <f t="shared" si="4"/>
        <v>0</v>
      </c>
      <c r="J35" s="759">
        <f t="shared" si="5"/>
        <v>39874.800000000003</v>
      </c>
      <c r="K35" s="759">
        <f t="shared" si="6"/>
        <v>0</v>
      </c>
      <c r="L35" s="759"/>
      <c r="M35" s="751"/>
      <c r="N35" s="751">
        <v>39874.800000000003</v>
      </c>
      <c r="O35" s="751"/>
      <c r="P35" s="759"/>
      <c r="Q35" s="751"/>
      <c r="R35" s="751">
        <v>39874.800000000003</v>
      </c>
      <c r="S35" s="751"/>
    </row>
    <row r="36" spans="1:19">
      <c r="A36" s="772">
        <f t="shared" si="7"/>
        <v>5.0899999999999981</v>
      </c>
      <c r="B36" s="751" t="s">
        <v>1008</v>
      </c>
      <c r="C36" s="759">
        <f t="shared" si="1"/>
        <v>26031.600000000002</v>
      </c>
      <c r="D36" s="759">
        <f t="shared" si="2"/>
        <v>26031.600000000002</v>
      </c>
      <c r="E36" s="759"/>
      <c r="F36" s="759"/>
      <c r="G36" s="759">
        <f t="shared" si="3"/>
        <v>26032</v>
      </c>
      <c r="H36" s="759"/>
      <c r="I36" s="759">
        <f t="shared" si="4"/>
        <v>0</v>
      </c>
      <c r="J36" s="759">
        <f t="shared" si="5"/>
        <v>26031.600000000002</v>
      </c>
      <c r="K36" s="759">
        <f t="shared" si="6"/>
        <v>0</v>
      </c>
      <c r="L36" s="759"/>
      <c r="M36" s="751"/>
      <c r="N36" s="751">
        <v>26031.600000000002</v>
      </c>
      <c r="O36" s="751"/>
      <c r="P36" s="759"/>
      <c r="Q36" s="751"/>
      <c r="R36" s="751">
        <v>26031.600000000002</v>
      </c>
      <c r="S36" s="751"/>
    </row>
    <row r="37" spans="1:19">
      <c r="A37" s="772">
        <f t="shared" si="7"/>
        <v>5.0999999999999979</v>
      </c>
      <c r="B37" s="751" t="s">
        <v>1009</v>
      </c>
      <c r="C37" s="759">
        <f t="shared" si="1"/>
        <v>17085083.370000001</v>
      </c>
      <c r="D37" s="759">
        <f t="shared" si="2"/>
        <v>17650973.609999999</v>
      </c>
      <c r="E37" s="759"/>
      <c r="F37" s="759"/>
      <c r="G37" s="759">
        <f t="shared" si="3"/>
        <v>17368028</v>
      </c>
      <c r="H37" s="759"/>
      <c r="I37" s="759">
        <f t="shared" si="4"/>
        <v>0</v>
      </c>
      <c r="J37" s="759">
        <f t="shared" si="5"/>
        <v>17368028.490000002</v>
      </c>
      <c r="K37" s="759">
        <f t="shared" si="6"/>
        <v>0</v>
      </c>
      <c r="L37" s="759"/>
      <c r="M37" s="751"/>
      <c r="N37" s="751">
        <v>17085083.370000001</v>
      </c>
      <c r="O37" s="751"/>
      <c r="P37" s="759"/>
      <c r="Q37" s="751"/>
      <c r="R37" s="751">
        <v>17650973.609999999</v>
      </c>
      <c r="S37" s="751"/>
    </row>
    <row r="38" spans="1:19">
      <c r="A38" s="772">
        <f t="shared" si="7"/>
        <v>5.1099999999999977</v>
      </c>
      <c r="B38" s="751" t="s">
        <v>1010</v>
      </c>
      <c r="C38" s="759">
        <f t="shared" si="1"/>
        <v>-63.84</v>
      </c>
      <c r="D38" s="759">
        <f t="shared" si="2"/>
        <v>-63.84</v>
      </c>
      <c r="E38" s="759"/>
      <c r="F38" s="759"/>
      <c r="G38" s="759">
        <f t="shared" si="3"/>
        <v>-64</v>
      </c>
      <c r="H38" s="759"/>
      <c r="I38" s="759">
        <f t="shared" si="4"/>
        <v>0</v>
      </c>
      <c r="J38" s="759">
        <f t="shared" si="5"/>
        <v>-63.84</v>
      </c>
      <c r="K38" s="759">
        <f t="shared" si="6"/>
        <v>0</v>
      </c>
      <c r="L38" s="759"/>
      <c r="M38" s="751"/>
      <c r="N38" s="751">
        <v>-63.84</v>
      </c>
      <c r="O38" s="751"/>
      <c r="P38" s="759"/>
      <c r="Q38" s="751"/>
      <c r="R38" s="751">
        <v>-63.84</v>
      </c>
      <c r="S38" s="751"/>
    </row>
    <row r="39" spans="1:19">
      <c r="A39" s="772">
        <f t="shared" si="7"/>
        <v>5.1199999999999974</v>
      </c>
      <c r="B39" s="751" t="s">
        <v>1011</v>
      </c>
      <c r="C39" s="759">
        <f t="shared" si="1"/>
        <v>-2056086.06</v>
      </c>
      <c r="D39" s="759">
        <f t="shared" si="2"/>
        <v>0</v>
      </c>
      <c r="E39" s="759"/>
      <c r="F39" s="759"/>
      <c r="G39" s="759">
        <f t="shared" si="3"/>
        <v>-1028043</v>
      </c>
      <c r="H39" s="759"/>
      <c r="I39" s="759">
        <f t="shared" si="4"/>
        <v>0</v>
      </c>
      <c r="J39" s="759">
        <f t="shared" si="5"/>
        <v>-1028043.03</v>
      </c>
      <c r="K39" s="759">
        <f t="shared" si="6"/>
        <v>0</v>
      </c>
      <c r="L39" s="759"/>
      <c r="M39" s="751"/>
      <c r="N39" s="751">
        <v>-2056086.06</v>
      </c>
      <c r="O39" s="751"/>
      <c r="P39" s="759"/>
      <c r="Q39" s="751"/>
      <c r="R39" s="751">
        <v>0</v>
      </c>
      <c r="S39" s="751"/>
    </row>
    <row r="40" spans="1:19">
      <c r="A40" s="772">
        <f t="shared" si="7"/>
        <v>5.1299999999999972</v>
      </c>
      <c r="B40" s="751" t="s">
        <v>1019</v>
      </c>
      <c r="C40" s="759">
        <f t="shared" si="1"/>
        <v>172757.5</v>
      </c>
      <c r="D40" s="759">
        <f t="shared" si="2"/>
        <v>136578.32</v>
      </c>
      <c r="E40" s="759"/>
      <c r="F40" s="759"/>
      <c r="G40" s="759">
        <f t="shared" si="3"/>
        <v>154668</v>
      </c>
      <c r="H40" s="759"/>
      <c r="I40" s="759">
        <f t="shared" si="4"/>
        <v>0</v>
      </c>
      <c r="J40" s="759">
        <f t="shared" si="5"/>
        <v>154667.91</v>
      </c>
      <c r="K40" s="759">
        <f t="shared" si="6"/>
        <v>0</v>
      </c>
      <c r="L40" s="759"/>
      <c r="M40" s="751"/>
      <c r="N40" s="751">
        <v>172757.5</v>
      </c>
      <c r="O40" s="751"/>
      <c r="P40" s="759"/>
      <c r="Q40" s="751"/>
      <c r="R40" s="751">
        <v>136578.32</v>
      </c>
      <c r="S40" s="751"/>
    </row>
    <row r="41" spans="1:19">
      <c r="A41" s="772">
        <f t="shared" si="7"/>
        <v>5.139999999999997</v>
      </c>
      <c r="B41" s="1029" t="s">
        <v>925</v>
      </c>
      <c r="C41" s="1029">
        <f t="shared" ref="C41" si="8">SUM(M41:O41)</f>
        <v>-68026977.682829693</v>
      </c>
      <c r="D41" s="1029">
        <f t="shared" ref="D41" si="9">SUM(Q41:S41)</f>
        <v>0</v>
      </c>
      <c r="E41" s="1030"/>
      <c r="F41" s="1030"/>
      <c r="G41" s="1031">
        <f t="shared" ref="G41:G42" si="10">ROUND(SUM(C41:F41)/2,0)</f>
        <v>-34013489</v>
      </c>
      <c r="H41" s="1031"/>
      <c r="I41" s="1031">
        <f t="shared" ref="I41:K41" si="11">(M41+Q41)/2</f>
        <v>0</v>
      </c>
      <c r="J41" s="1031">
        <f t="shared" si="11"/>
        <v>-34013488.841414846</v>
      </c>
      <c r="K41" s="1031">
        <f t="shared" si="11"/>
        <v>0</v>
      </c>
      <c r="L41" s="759"/>
      <c r="M41" s="751"/>
      <c r="N41" s="1087">
        <v>-68026977.682829693</v>
      </c>
      <c r="O41" s="751"/>
      <c r="P41" s="759"/>
      <c r="Q41" s="751"/>
      <c r="R41" s="1087"/>
      <c r="S41" s="751"/>
    </row>
    <row r="42" spans="1:19">
      <c r="A42" s="772">
        <f t="shared" si="7"/>
        <v>5.1499999999999968</v>
      </c>
      <c r="B42" s="1029" t="s">
        <v>926</v>
      </c>
      <c r="C42" s="1029">
        <f>-E42</f>
        <v>68026977.682829693</v>
      </c>
      <c r="D42" s="1029">
        <f>-F42</f>
        <v>0</v>
      </c>
      <c r="E42" s="1030">
        <f>C41</f>
        <v>-68026977.682829693</v>
      </c>
      <c r="F42" s="1030">
        <f>D41</f>
        <v>0</v>
      </c>
      <c r="G42" s="1031">
        <f t="shared" si="10"/>
        <v>0</v>
      </c>
      <c r="H42" s="1031"/>
      <c r="I42" s="1031"/>
      <c r="J42" s="1031"/>
      <c r="K42" s="1031"/>
      <c r="L42" s="759"/>
      <c r="M42" s="751"/>
      <c r="N42" s="751"/>
      <c r="O42" s="751"/>
      <c r="P42" s="759"/>
      <c r="Q42" s="751"/>
      <c r="R42" s="751"/>
      <c r="S42" s="751"/>
    </row>
    <row r="43" spans="1:19">
      <c r="A43" s="772">
        <f t="shared" si="7"/>
        <v>5.1599999999999966</v>
      </c>
      <c r="B43" s="751" t="s">
        <v>852</v>
      </c>
      <c r="C43" s="751">
        <f>SUM(M43:O43)</f>
        <v>0</v>
      </c>
      <c r="D43" s="751">
        <f>SUM(Q43:S43)</f>
        <v>0</v>
      </c>
      <c r="E43" s="759">
        <v>0</v>
      </c>
      <c r="F43" s="759">
        <v>0</v>
      </c>
      <c r="G43" s="759">
        <f>ROUND(SUM(C43:F43)/2,0)</f>
        <v>0</v>
      </c>
      <c r="H43" s="759"/>
      <c r="I43" s="759"/>
      <c r="J43" s="759"/>
      <c r="K43" s="759"/>
      <c r="L43" s="759"/>
      <c r="M43" s="751"/>
      <c r="N43" s="751"/>
      <c r="O43" s="751"/>
      <c r="P43" s="759"/>
      <c r="Q43" s="751"/>
      <c r="R43" s="751"/>
      <c r="S43" s="751"/>
    </row>
    <row r="44" spans="1:19">
      <c r="A44" s="772">
        <f t="shared" si="7"/>
        <v>5.1699999999999964</v>
      </c>
      <c r="B44" s="751" t="s">
        <v>857</v>
      </c>
      <c r="C44" s="751">
        <f t="shared" ref="C44:D46" si="12">-E44</f>
        <v>41135013.740000002</v>
      </c>
      <c r="D44" s="751">
        <f t="shared" si="12"/>
        <v>44066189.539999999</v>
      </c>
      <c r="E44" s="759">
        <v>-41135013.740000002</v>
      </c>
      <c r="F44" s="759">
        <v>-44066189.539999999</v>
      </c>
      <c r="G44" s="759">
        <f>ROUND(SUM(C44:F44)/2,0)</f>
        <v>0</v>
      </c>
      <c r="H44" s="759"/>
      <c r="I44" s="759"/>
      <c r="J44" s="759"/>
      <c r="K44" s="759"/>
      <c r="L44" s="759"/>
      <c r="M44" s="751"/>
      <c r="N44" s="751"/>
      <c r="O44" s="751"/>
      <c r="P44" s="759"/>
      <c r="Q44" s="751"/>
      <c r="R44" s="751"/>
      <c r="S44" s="751"/>
    </row>
    <row r="45" spans="1:19">
      <c r="A45" s="772">
        <f t="shared" si="7"/>
        <v>5.1799999999999962</v>
      </c>
      <c r="B45" s="751" t="s">
        <v>1074</v>
      </c>
      <c r="C45" s="751">
        <f t="shared" si="12"/>
        <v>0</v>
      </c>
      <c r="D45" s="751">
        <f t="shared" si="12"/>
        <v>15262068.960000001</v>
      </c>
      <c r="E45" s="759">
        <v>0</v>
      </c>
      <c r="F45" s="759">
        <v>-15262068.960000001</v>
      </c>
      <c r="G45" s="759">
        <f>ROUND(SUM(C45:F45)/2,0)</f>
        <v>0</v>
      </c>
      <c r="H45" s="759"/>
      <c r="I45" s="759"/>
      <c r="J45" s="759"/>
      <c r="K45" s="759"/>
      <c r="L45" s="759"/>
      <c r="M45" s="751"/>
      <c r="N45" s="751"/>
      <c r="O45" s="751"/>
      <c r="P45" s="759"/>
      <c r="Q45" s="751"/>
      <c r="R45" s="751"/>
      <c r="S45" s="751"/>
    </row>
    <row r="46" spans="1:19">
      <c r="A46" s="772">
        <f t="shared" si="7"/>
        <v>5.1899999999999959</v>
      </c>
      <c r="B46" s="751" t="s">
        <v>858</v>
      </c>
      <c r="C46" s="751">
        <f t="shared" si="12"/>
        <v>-103144732.15000001</v>
      </c>
      <c r="D46" s="751">
        <f t="shared" si="12"/>
        <v>-105728270.15000001</v>
      </c>
      <c r="E46" s="759">
        <v>103144732.15000001</v>
      </c>
      <c r="F46" s="759">
        <v>105728270.15000001</v>
      </c>
      <c r="G46" s="759">
        <f>ROUND(SUM(C46:F46)/2,0)</f>
        <v>0</v>
      </c>
      <c r="H46" s="759"/>
      <c r="I46" s="759"/>
      <c r="J46" s="759"/>
      <c r="K46" s="759"/>
      <c r="L46" s="759"/>
      <c r="M46" s="751"/>
      <c r="N46" s="751"/>
      <c r="O46" s="751"/>
      <c r="P46" s="759"/>
      <c r="Q46" s="751"/>
      <c r="R46" s="751"/>
      <c r="S46" s="751"/>
    </row>
    <row r="47" spans="1:19">
      <c r="A47" s="749"/>
    </row>
    <row r="48" spans="1:19">
      <c r="A48" s="765"/>
      <c r="B48" s="753"/>
      <c r="C48" s="759"/>
      <c r="D48" s="759"/>
      <c r="E48" s="759"/>
      <c r="F48" s="759"/>
      <c r="G48" s="759"/>
      <c r="H48" s="759"/>
      <c r="I48" s="759"/>
      <c r="J48" s="759"/>
      <c r="K48" s="759"/>
      <c r="L48" s="759"/>
      <c r="M48" s="759"/>
      <c r="N48" s="759"/>
      <c r="O48" s="759"/>
      <c r="P48" s="759"/>
      <c r="Q48" s="759"/>
      <c r="R48" s="759"/>
      <c r="S48" s="759"/>
    </row>
    <row r="49" spans="1:19" ht="13.5" thickBot="1">
      <c r="A49" s="765">
        <v>6</v>
      </c>
      <c r="B49" s="749" t="s">
        <v>674</v>
      </c>
      <c r="C49" s="761">
        <f>SUM(C28:C48)</f>
        <v>342553776.46000004</v>
      </c>
      <c r="D49" s="761">
        <f>SUM(D28:D48)</f>
        <v>379973130.45000005</v>
      </c>
      <c r="E49" s="761">
        <f>SUM(E28:E48)</f>
        <v>-6017259.2728296816</v>
      </c>
      <c r="F49" s="761">
        <f>SUM(F28:F48)</f>
        <v>46400011.650000006</v>
      </c>
      <c r="G49" s="761">
        <f>SUM(G28:G48)</f>
        <v>381454829</v>
      </c>
      <c r="H49" s="759"/>
      <c r="I49" s="761">
        <f>SUM(I28:I48)</f>
        <v>0</v>
      </c>
      <c r="J49" s="761">
        <f>SUM(J28:J48)</f>
        <v>381454829.64358526</v>
      </c>
      <c r="K49" s="761">
        <f>SUM(K28:K48)</f>
        <v>0</v>
      </c>
      <c r="L49" s="759"/>
      <c r="M49" s="761">
        <f>SUM(M28:M48)</f>
        <v>0</v>
      </c>
      <c r="N49" s="761">
        <f>SUM(N28:N48)</f>
        <v>336536517.18717039</v>
      </c>
      <c r="O49" s="761">
        <f>SUM(O28:O48)</f>
        <v>0</v>
      </c>
      <c r="P49" s="759"/>
      <c r="Q49" s="761">
        <f>SUM(Q28:Q48)</f>
        <v>0</v>
      </c>
      <c r="R49" s="761">
        <f>SUM(R28:R48)</f>
        <v>426373142.10000008</v>
      </c>
      <c r="S49" s="761">
        <f>SUM(S28:S48)</f>
        <v>0</v>
      </c>
    </row>
    <row r="50" spans="1:19" ht="13.5" thickTop="1">
      <c r="A50" s="765">
        <f>A49+1</f>
        <v>7</v>
      </c>
      <c r="B50" s="753" t="s">
        <v>675</v>
      </c>
      <c r="C50" s="762">
        <v>0</v>
      </c>
      <c r="D50" s="762">
        <v>0</v>
      </c>
      <c r="E50" s="762">
        <v>0</v>
      </c>
      <c r="F50" s="762">
        <v>0</v>
      </c>
      <c r="G50" s="762">
        <v>0</v>
      </c>
      <c r="H50" s="759"/>
      <c r="I50" s="762">
        <v>0</v>
      </c>
      <c r="J50" s="762">
        <v>0</v>
      </c>
      <c r="K50" s="762">
        <v>0</v>
      </c>
      <c r="L50" s="762"/>
      <c r="M50" s="762">
        <v>0</v>
      </c>
      <c r="N50" s="762">
        <v>0</v>
      </c>
      <c r="O50" s="762">
        <v>0</v>
      </c>
      <c r="P50" s="759"/>
      <c r="Q50" s="762">
        <v>0</v>
      </c>
      <c r="R50" s="762">
        <v>0</v>
      </c>
      <c r="S50" s="762">
        <v>0</v>
      </c>
    </row>
    <row r="51" spans="1:19">
      <c r="A51" s="765"/>
      <c r="C51" s="759"/>
      <c r="D51" s="759"/>
      <c r="E51" s="759"/>
      <c r="F51" s="759"/>
      <c r="G51" s="759"/>
      <c r="H51" s="759"/>
      <c r="I51" s="759"/>
      <c r="J51" s="759"/>
      <c r="K51" s="759"/>
      <c r="L51" s="759"/>
      <c r="M51" s="759"/>
      <c r="N51" s="759"/>
      <c r="O51" s="759"/>
      <c r="P51" s="759"/>
      <c r="Q51" s="759"/>
      <c r="R51" s="759"/>
      <c r="S51" s="759"/>
    </row>
    <row r="52" spans="1:19">
      <c r="A52" s="765">
        <v>8</v>
      </c>
      <c r="B52" s="749" t="s">
        <v>676</v>
      </c>
      <c r="C52" s="759" t="s">
        <v>414</v>
      </c>
      <c r="D52" s="759"/>
      <c r="E52" s="759"/>
      <c r="F52" s="759"/>
      <c r="G52" s="759"/>
      <c r="H52" s="759"/>
      <c r="I52" s="759"/>
      <c r="J52" s="759"/>
      <c r="K52" s="759"/>
      <c r="L52" s="759"/>
      <c r="M52" s="759"/>
      <c r="N52" s="759"/>
      <c r="O52" s="759"/>
      <c r="P52" s="759"/>
      <c r="Q52" s="759"/>
      <c r="R52" s="759"/>
      <c r="S52" s="759"/>
    </row>
    <row r="53" spans="1:19">
      <c r="A53" s="765"/>
      <c r="B53" s="753"/>
      <c r="C53" s="759"/>
      <c r="D53" s="759"/>
      <c r="E53" s="759"/>
      <c r="F53" s="759"/>
      <c r="G53" s="759"/>
      <c r="H53" s="759"/>
      <c r="I53" s="759"/>
      <c r="J53" s="759"/>
      <c r="K53" s="759"/>
      <c r="L53" s="759"/>
      <c r="M53" s="759"/>
      <c r="N53" s="759"/>
      <c r="O53" s="759"/>
      <c r="P53" s="759"/>
      <c r="Q53" s="759"/>
      <c r="R53" s="759"/>
      <c r="S53" s="759"/>
    </row>
    <row r="54" spans="1:19">
      <c r="A54" s="772">
        <v>9.01</v>
      </c>
      <c r="B54" s="751" t="s">
        <v>1025</v>
      </c>
      <c r="C54" s="759">
        <f>SUM(M54:O54)</f>
        <v>-2940657.14</v>
      </c>
      <c r="D54" s="759">
        <f>SUM(Q54:S54)</f>
        <v>1.86</v>
      </c>
      <c r="E54" s="759"/>
      <c r="F54" s="759"/>
      <c r="G54" s="759">
        <f>ROUND(SUM(C54:F54)/2,0)</f>
        <v>-1470328</v>
      </c>
      <c r="H54" s="759"/>
      <c r="I54" s="759">
        <f t="shared" ref="I54:I55" si="13">(M54+Q54)/2</f>
        <v>0</v>
      </c>
      <c r="J54" s="759">
        <f t="shared" ref="J54:J55" si="14">(N54+R54)/2</f>
        <v>-1470327.6400000001</v>
      </c>
      <c r="K54" s="759">
        <f t="shared" ref="K54:K55" si="15">(O54+S54)/2</f>
        <v>0</v>
      </c>
      <c r="L54" s="759"/>
      <c r="M54" s="751"/>
      <c r="N54" s="751">
        <v>-2940657.14</v>
      </c>
      <c r="O54" s="751"/>
      <c r="P54" s="759"/>
      <c r="Q54" s="751"/>
      <c r="R54" s="751">
        <v>1.86</v>
      </c>
      <c r="S54" s="751"/>
    </row>
    <row r="55" spans="1:19">
      <c r="A55" s="772">
        <f t="shared" ref="A55:A57" si="16">A54+0.01</f>
        <v>9.02</v>
      </c>
      <c r="B55" s="751" t="s">
        <v>1017</v>
      </c>
      <c r="C55" s="759">
        <f>SUM(M55:O55)</f>
        <v>44824.08</v>
      </c>
      <c r="D55" s="759">
        <f>SUM(Q55:S55)</f>
        <v>662334.12</v>
      </c>
      <c r="E55" s="759"/>
      <c r="F55" s="759"/>
      <c r="G55" s="759">
        <f>ROUND(SUM(C55:F55)/2,0)</f>
        <v>353579</v>
      </c>
      <c r="H55" s="759"/>
      <c r="I55" s="759">
        <f t="shared" si="13"/>
        <v>0</v>
      </c>
      <c r="J55" s="759">
        <f t="shared" si="14"/>
        <v>353579.1</v>
      </c>
      <c r="K55" s="759">
        <f t="shared" si="15"/>
        <v>0</v>
      </c>
      <c r="L55" s="759"/>
      <c r="M55" s="751"/>
      <c r="N55" s="751">
        <v>44824.08</v>
      </c>
      <c r="O55" s="751"/>
      <c r="P55" s="759"/>
      <c r="Q55" s="751"/>
      <c r="R55" s="751">
        <v>662334.12</v>
      </c>
      <c r="S55" s="751"/>
    </row>
    <row r="56" spans="1:19">
      <c r="A56" s="772">
        <f t="shared" si="16"/>
        <v>9.0299999999999994</v>
      </c>
      <c r="B56" s="1029" t="s">
        <v>925</v>
      </c>
      <c r="C56" s="1029">
        <f t="shared" ref="C56" si="17">SUM(M56:O56)</f>
        <v>0</v>
      </c>
      <c r="D56" s="1029">
        <f t="shared" ref="D56" si="18">SUM(Q56:S56)</f>
        <v>0</v>
      </c>
      <c r="E56" s="1030"/>
      <c r="F56" s="1030"/>
      <c r="G56" s="1031">
        <f t="shared" ref="G56:G57" si="19">ROUND(SUM(C56:F56)/2,0)</f>
        <v>0</v>
      </c>
      <c r="H56" s="1031"/>
      <c r="I56" s="1031">
        <f t="shared" ref="I56:K56" si="20">(M56+Q56)/2</f>
        <v>0</v>
      </c>
      <c r="J56" s="1031">
        <f t="shared" si="20"/>
        <v>0</v>
      </c>
      <c r="K56" s="1031">
        <f t="shared" si="20"/>
        <v>0</v>
      </c>
      <c r="L56" s="759"/>
      <c r="M56" s="751"/>
      <c r="N56" s="751">
        <v>0</v>
      </c>
      <c r="O56" s="751"/>
      <c r="P56" s="759"/>
      <c r="Q56" s="751"/>
      <c r="R56" s="1087"/>
      <c r="S56" s="751"/>
    </row>
    <row r="57" spans="1:19">
      <c r="A57" s="772">
        <f t="shared" si="16"/>
        <v>9.0399999999999991</v>
      </c>
      <c r="B57" s="1029" t="s">
        <v>926</v>
      </c>
      <c r="C57" s="1029">
        <f t="shared" ref="C57:D59" si="21">-E57</f>
        <v>0</v>
      </c>
      <c r="D57" s="1029">
        <f t="shared" si="21"/>
        <v>0</v>
      </c>
      <c r="E57" s="1030">
        <f>C56</f>
        <v>0</v>
      </c>
      <c r="F57" s="1030">
        <f>D56</f>
        <v>0</v>
      </c>
      <c r="G57" s="1031">
        <f t="shared" si="19"/>
        <v>0</v>
      </c>
      <c r="H57" s="1031"/>
      <c r="I57" s="1031"/>
      <c r="J57" s="1031"/>
      <c r="K57" s="1031"/>
      <c r="L57" s="759"/>
      <c r="M57" s="751"/>
      <c r="N57" s="751"/>
      <c r="O57" s="751"/>
      <c r="P57" s="759"/>
      <c r="Q57" s="751"/>
      <c r="R57" s="751"/>
      <c r="S57" s="751"/>
    </row>
    <row r="58" spans="1:19">
      <c r="A58" s="772">
        <f t="shared" ref="A58:A61" si="22">A57+0.01</f>
        <v>9.0499999999999989</v>
      </c>
      <c r="B58" s="751" t="s">
        <v>859</v>
      </c>
      <c r="C58" s="751">
        <f t="shared" si="21"/>
        <v>13668023.880000001</v>
      </c>
      <c r="D58" s="751">
        <f t="shared" si="21"/>
        <v>14638036.75</v>
      </c>
      <c r="E58" s="759">
        <v>-13668023.880000001</v>
      </c>
      <c r="F58" s="759">
        <v>-14638036.75</v>
      </c>
      <c r="G58" s="759">
        <f t="shared" ref="G58:G61" si="23">ROUND(SUM(C58:F58)/2,0)</f>
        <v>0</v>
      </c>
      <c r="H58" s="759"/>
      <c r="I58" s="759"/>
      <c r="J58" s="759"/>
      <c r="K58" s="759"/>
      <c r="L58" s="759"/>
      <c r="M58" s="759"/>
      <c r="N58" s="759"/>
      <c r="O58" s="759"/>
      <c r="P58" s="759"/>
      <c r="Q58" s="759"/>
      <c r="R58" s="759"/>
      <c r="S58" s="759"/>
    </row>
    <row r="59" spans="1:19">
      <c r="A59" s="772">
        <f>A58+0.01</f>
        <v>9.0599999999999987</v>
      </c>
      <c r="B59" s="751" t="s">
        <v>860</v>
      </c>
      <c r="C59" s="751">
        <f t="shared" si="21"/>
        <v>2940657.14</v>
      </c>
      <c r="D59" s="751">
        <f t="shared" si="21"/>
        <v>19231764.5</v>
      </c>
      <c r="E59" s="759">
        <v>-2940657.14</v>
      </c>
      <c r="F59" s="759">
        <v>-19231764.5</v>
      </c>
      <c r="G59" s="759">
        <f t="shared" si="23"/>
        <v>0</v>
      </c>
      <c r="H59" s="759"/>
      <c r="I59" s="759"/>
      <c r="J59" s="759"/>
      <c r="K59" s="759"/>
      <c r="L59" s="759"/>
      <c r="M59" s="759"/>
      <c r="N59" s="759"/>
      <c r="O59" s="759"/>
      <c r="P59" s="759"/>
      <c r="Q59" s="759"/>
      <c r="R59" s="759"/>
      <c r="S59" s="759"/>
    </row>
    <row r="60" spans="1:19">
      <c r="A60" s="772">
        <f t="shared" si="22"/>
        <v>9.0699999999999985</v>
      </c>
      <c r="B60" s="751" t="s">
        <v>1075</v>
      </c>
      <c r="C60" s="751">
        <f t="shared" ref="C60" si="24">-E60</f>
        <v>0</v>
      </c>
      <c r="D60" s="751">
        <f t="shared" ref="D60" si="25">-F60</f>
        <v>4801029.88</v>
      </c>
      <c r="E60" s="759">
        <v>0</v>
      </c>
      <c r="F60" s="759">
        <v>-4801029.88</v>
      </c>
      <c r="G60" s="759">
        <f t="shared" si="23"/>
        <v>0</v>
      </c>
      <c r="H60" s="759"/>
      <c r="I60" s="759"/>
      <c r="J60" s="759"/>
      <c r="K60" s="759"/>
      <c r="L60" s="759"/>
      <c r="M60" s="759"/>
      <c r="N60" s="759"/>
      <c r="O60" s="759"/>
      <c r="P60" s="759"/>
      <c r="Q60" s="759"/>
      <c r="R60" s="759"/>
      <c r="S60" s="759"/>
    </row>
    <row r="61" spans="1:19">
      <c r="A61" s="772">
        <f t="shared" si="22"/>
        <v>9.0799999999999983</v>
      </c>
      <c r="B61" s="751" t="s">
        <v>861</v>
      </c>
      <c r="C61" s="751">
        <v>0</v>
      </c>
      <c r="D61" s="751">
        <v>0</v>
      </c>
      <c r="E61" s="759">
        <v>0</v>
      </c>
      <c r="F61" s="759">
        <v>0</v>
      </c>
      <c r="G61" s="759">
        <f t="shared" si="23"/>
        <v>0</v>
      </c>
      <c r="H61" s="759"/>
      <c r="I61" s="759"/>
      <c r="J61" s="759"/>
      <c r="K61" s="759"/>
      <c r="L61" s="759"/>
      <c r="M61" s="759"/>
      <c r="N61" s="759"/>
      <c r="O61" s="759"/>
      <c r="P61" s="759"/>
      <c r="Q61" s="759"/>
      <c r="R61" s="759"/>
      <c r="S61" s="759"/>
    </row>
    <row r="62" spans="1:19">
      <c r="A62" s="765"/>
      <c r="B62" s="753"/>
      <c r="C62" s="759"/>
      <c r="D62" s="759"/>
      <c r="E62" s="759"/>
      <c r="F62" s="759"/>
      <c r="G62" s="759"/>
      <c r="H62" s="759"/>
      <c r="I62" s="759"/>
      <c r="J62" s="759"/>
      <c r="K62" s="759"/>
      <c r="L62" s="759"/>
      <c r="M62" s="759"/>
      <c r="N62" s="759"/>
      <c r="O62" s="759"/>
      <c r="P62" s="759"/>
      <c r="Q62" s="759"/>
      <c r="R62" s="759"/>
      <c r="S62" s="759"/>
    </row>
    <row r="63" spans="1:19">
      <c r="A63" s="765"/>
      <c r="B63" s="753"/>
      <c r="C63" s="759"/>
      <c r="D63" s="759"/>
      <c r="E63" s="759"/>
      <c r="F63" s="759"/>
      <c r="G63" s="759"/>
      <c r="H63" s="759"/>
      <c r="I63" s="759"/>
      <c r="J63" s="759"/>
      <c r="K63" s="759"/>
      <c r="L63" s="759"/>
      <c r="M63" s="759"/>
      <c r="N63" s="759"/>
      <c r="O63" s="759"/>
      <c r="P63" s="759"/>
      <c r="Q63" s="759"/>
      <c r="R63" s="759"/>
      <c r="S63" s="759"/>
    </row>
    <row r="64" spans="1:19" ht="13.5" thickBot="1">
      <c r="A64" s="765">
        <v>10</v>
      </c>
      <c r="C64" s="761">
        <f>SUM(C54:C63)</f>
        <v>13712847.960000001</v>
      </c>
      <c r="D64" s="761">
        <f>SUM(D54:D63)</f>
        <v>39333167.110000007</v>
      </c>
      <c r="E64" s="761">
        <f>SUM(E54:E63)</f>
        <v>-16608681.020000001</v>
      </c>
      <c r="F64" s="761">
        <f>SUM(F54:F63)</f>
        <v>-38670831.130000003</v>
      </c>
      <c r="G64" s="761">
        <f>SUM(G54:G63)</f>
        <v>-1116749</v>
      </c>
      <c r="H64" s="759"/>
      <c r="I64" s="761">
        <f>SUM(I54:I63)</f>
        <v>0</v>
      </c>
      <c r="J64" s="761">
        <f>SUM(J54:J63)</f>
        <v>-1116748.54</v>
      </c>
      <c r="K64" s="761">
        <f>SUM(K54:K63)</f>
        <v>0</v>
      </c>
      <c r="L64" s="759"/>
      <c r="M64" s="761">
        <f>SUM(M54:M63)</f>
        <v>0</v>
      </c>
      <c r="N64" s="761">
        <f>SUM(N54:N63)</f>
        <v>-2895833.06</v>
      </c>
      <c r="O64" s="761">
        <f>SUM(O54:O63)</f>
        <v>0</v>
      </c>
      <c r="P64" s="759"/>
      <c r="Q64" s="761">
        <f>SUM(Q54:Q63)</f>
        <v>0</v>
      </c>
      <c r="R64" s="761">
        <f>SUM(R54:R63)</f>
        <v>662335.98</v>
      </c>
      <c r="S64" s="761">
        <f>SUM(S54:S63)</f>
        <v>0</v>
      </c>
    </row>
    <row r="65" spans="1:19" ht="13.5" thickTop="1">
      <c r="A65" s="765"/>
      <c r="B65" s="753"/>
      <c r="C65" s="762"/>
      <c r="D65" s="762"/>
      <c r="E65" s="762"/>
      <c r="F65" s="762"/>
      <c r="G65" s="762"/>
      <c r="H65" s="759"/>
      <c r="I65" s="762"/>
      <c r="J65" s="762"/>
      <c r="K65" s="762"/>
      <c r="L65" s="759"/>
      <c r="M65" s="762"/>
      <c r="N65" s="762"/>
      <c r="O65" s="762"/>
      <c r="P65" s="759"/>
      <c r="Q65" s="762"/>
      <c r="R65" s="762"/>
      <c r="S65" s="762"/>
    </row>
    <row r="66" spans="1:19">
      <c r="A66" s="765"/>
      <c r="B66" s="753"/>
      <c r="C66" s="759"/>
      <c r="D66" s="759"/>
      <c r="E66" s="759"/>
      <c r="F66" s="759"/>
      <c r="G66" s="759"/>
      <c r="H66" s="759"/>
      <c r="I66" s="759"/>
      <c r="J66" s="759"/>
      <c r="K66" s="759"/>
      <c r="L66" s="759"/>
      <c r="M66" s="759"/>
      <c r="N66" s="759"/>
      <c r="O66" s="759"/>
      <c r="P66" s="759"/>
      <c r="Q66" s="759"/>
      <c r="R66" s="759"/>
      <c r="S66" s="759"/>
    </row>
    <row r="67" spans="1:19">
      <c r="A67" s="765">
        <f>+A64+1</f>
        <v>11</v>
      </c>
      <c r="B67" s="749" t="s">
        <v>677</v>
      </c>
      <c r="C67" s="759">
        <f>SUM(M67:O67)</f>
        <v>55878338.469999999</v>
      </c>
      <c r="D67" s="759">
        <f>SUM(Q67:S67)</f>
        <v>63253905.180000007</v>
      </c>
      <c r="E67" s="759"/>
      <c r="F67" s="759"/>
      <c r="G67" s="759">
        <f>ROUND(SUM(C67:F67)/2,0)</f>
        <v>59566122</v>
      </c>
      <c r="H67" s="759"/>
      <c r="I67" s="759">
        <f>(M67+Q67)/2</f>
        <v>0</v>
      </c>
      <c r="J67" s="759">
        <f>(N67+R67)/2</f>
        <v>59566121.825000003</v>
      </c>
      <c r="K67" s="759">
        <f>(O67+S67)/2</f>
        <v>0</v>
      </c>
      <c r="L67" s="759"/>
      <c r="M67" s="751"/>
      <c r="N67" s="751">
        <v>55878338.469999999</v>
      </c>
      <c r="O67" s="751"/>
      <c r="P67" s="759"/>
      <c r="Q67" s="751"/>
      <c r="R67" s="751">
        <v>63253905.180000007</v>
      </c>
      <c r="S67" s="751"/>
    </row>
    <row r="68" spans="1:19">
      <c r="A68" s="779">
        <f>A67+0.01</f>
        <v>11.01</v>
      </c>
      <c r="B68" s="751" t="s">
        <v>989</v>
      </c>
      <c r="C68" s="751">
        <f t="shared" ref="C68" si="26">-E68</f>
        <v>13016191.17</v>
      </c>
      <c r="D68" s="751">
        <f t="shared" ref="D68" si="27">-F68</f>
        <v>-1337118.99</v>
      </c>
      <c r="E68" s="759">
        <v>-13016191.17</v>
      </c>
      <c r="F68" s="759">
        <v>1337118.99</v>
      </c>
      <c r="G68" s="759">
        <f>ROUND(SUM(C68:F68)/2,0)</f>
        <v>0</v>
      </c>
      <c r="H68" s="759"/>
      <c r="I68" s="759"/>
      <c r="J68" s="759"/>
      <c r="K68" s="759"/>
      <c r="L68" s="759"/>
      <c r="M68" s="1086"/>
      <c r="N68" s="1086"/>
      <c r="O68" s="1086"/>
      <c r="P68" s="759"/>
      <c r="Q68" s="1086"/>
      <c r="R68" s="1086"/>
      <c r="S68" s="1086"/>
    </row>
    <row r="69" spans="1:19">
      <c r="A69" s="765"/>
      <c r="B69" s="753"/>
      <c r="C69" s="759"/>
      <c r="D69" s="759"/>
      <c r="E69" s="759"/>
      <c r="F69" s="759"/>
      <c r="G69" s="759"/>
      <c r="H69" s="759"/>
      <c r="I69" s="759"/>
      <c r="J69" s="759"/>
      <c r="K69" s="759"/>
      <c r="L69" s="759"/>
      <c r="M69" s="759"/>
      <c r="N69" s="759"/>
      <c r="O69" s="759"/>
      <c r="P69" s="759"/>
      <c r="Q69" s="759"/>
      <c r="R69" s="759"/>
      <c r="S69" s="759"/>
    </row>
    <row r="70" spans="1:19" ht="13.5" thickBot="1">
      <c r="A70" s="765">
        <f>+A67+1</f>
        <v>12</v>
      </c>
      <c r="B70" s="749" t="s">
        <v>678</v>
      </c>
      <c r="C70" s="761">
        <f>SUM(C64:C69)</f>
        <v>82607377.600000009</v>
      </c>
      <c r="D70" s="761">
        <f>SUM(D64:D69)</f>
        <v>101249953.30000003</v>
      </c>
      <c r="E70" s="761">
        <f>SUM(E64:E69)</f>
        <v>-29624872.190000001</v>
      </c>
      <c r="F70" s="761">
        <f>SUM(F64:F69)</f>
        <v>-37333712.140000001</v>
      </c>
      <c r="G70" s="761">
        <f>SUM(G64:G69)</f>
        <v>58449373</v>
      </c>
      <c r="H70" s="759"/>
      <c r="I70" s="761">
        <f>SUM(I64:I69)</f>
        <v>0</v>
      </c>
      <c r="J70" s="761">
        <f>SUM(J64:J69)</f>
        <v>58449373.285000004</v>
      </c>
      <c r="K70" s="761">
        <f>SUM(K64:K69)</f>
        <v>0</v>
      </c>
      <c r="L70" s="759"/>
      <c r="M70" s="763">
        <f>SUM(M64:M69)</f>
        <v>0</v>
      </c>
      <c r="N70" s="763">
        <f>SUM(N64:N69)</f>
        <v>52982505.409999996</v>
      </c>
      <c r="O70" s="763">
        <f>SUM(O64:O69)</f>
        <v>0</v>
      </c>
      <c r="P70" s="759"/>
      <c r="Q70" s="761">
        <f>SUM(Q64:Q69)</f>
        <v>0</v>
      </c>
      <c r="R70" s="761">
        <f>SUM(R64:R69)</f>
        <v>63916241.160000004</v>
      </c>
      <c r="S70" s="761">
        <f>SUM(S64:S69)</f>
        <v>0</v>
      </c>
    </row>
    <row r="71" spans="1:19" ht="13.5" thickTop="1">
      <c r="A71" s="765">
        <f>A70+1</f>
        <v>13</v>
      </c>
      <c r="B71" s="753" t="s">
        <v>679</v>
      </c>
      <c r="C71" s="762">
        <v>0</v>
      </c>
      <c r="D71" s="762">
        <v>0</v>
      </c>
      <c r="E71" s="762">
        <v>0</v>
      </c>
      <c r="F71" s="762">
        <v>0</v>
      </c>
      <c r="G71" s="762">
        <v>0</v>
      </c>
      <c r="H71" s="759"/>
      <c r="I71" s="762">
        <v>0</v>
      </c>
      <c r="J71" s="762">
        <v>0</v>
      </c>
      <c r="K71" s="762">
        <v>0</v>
      </c>
      <c r="L71" s="759"/>
      <c r="M71" s="762">
        <v>0</v>
      </c>
      <c r="N71" s="762">
        <v>0</v>
      </c>
      <c r="O71" s="762">
        <v>0</v>
      </c>
      <c r="P71" s="759"/>
      <c r="Q71" s="762">
        <v>0</v>
      </c>
      <c r="R71" s="762">
        <v>0</v>
      </c>
      <c r="S71" s="762">
        <v>0</v>
      </c>
    </row>
    <row r="72" spans="1:19">
      <c r="A72" s="765"/>
      <c r="B72" s="753"/>
      <c r="C72" s="759"/>
      <c r="D72" s="759"/>
      <c r="E72" s="759"/>
      <c r="F72" s="759"/>
      <c r="G72" s="759"/>
      <c r="H72" s="759"/>
      <c r="I72" s="759"/>
      <c r="J72" s="759"/>
      <c r="K72" s="759"/>
      <c r="L72" s="759"/>
      <c r="M72" s="759"/>
      <c r="N72" s="759"/>
      <c r="O72" s="759"/>
      <c r="P72" s="759"/>
      <c r="Q72" s="759"/>
      <c r="R72" s="759"/>
      <c r="S72" s="759"/>
    </row>
    <row r="73" spans="1:19">
      <c r="A73" s="765">
        <f>+A71+1</f>
        <v>14</v>
      </c>
      <c r="B73" s="749" t="s">
        <v>680</v>
      </c>
      <c r="C73" s="759"/>
      <c r="D73" s="759"/>
      <c r="E73" s="759"/>
      <c r="F73" s="759"/>
      <c r="G73" s="759"/>
      <c r="H73" s="759"/>
      <c r="I73" s="759"/>
      <c r="J73" s="759"/>
      <c r="K73" s="759"/>
      <c r="L73" s="759"/>
      <c r="M73" s="759"/>
      <c r="N73" s="759"/>
      <c r="O73" s="759"/>
      <c r="P73" s="759"/>
      <c r="Q73" s="759"/>
      <c r="R73" s="759"/>
      <c r="S73" s="759"/>
    </row>
    <row r="74" spans="1:19">
      <c r="A74" s="765"/>
      <c r="B74" s="753"/>
      <c r="C74" s="759"/>
      <c r="D74" s="759"/>
      <c r="E74" s="759"/>
      <c r="F74" s="759"/>
      <c r="G74" s="759"/>
      <c r="H74" s="759"/>
      <c r="I74" s="759"/>
      <c r="J74" s="759"/>
      <c r="K74" s="759"/>
      <c r="L74" s="759"/>
      <c r="M74" s="759"/>
      <c r="N74" s="759"/>
      <c r="O74" s="759"/>
      <c r="P74" s="759"/>
      <c r="Q74" s="759"/>
      <c r="R74" s="759"/>
      <c r="S74" s="759"/>
    </row>
    <row r="75" spans="1:19">
      <c r="A75" s="765">
        <f>+A73+1</f>
        <v>15</v>
      </c>
      <c r="B75" s="749" t="s">
        <v>681</v>
      </c>
      <c r="C75" s="759"/>
      <c r="D75" s="759"/>
      <c r="E75" s="759"/>
      <c r="F75" s="759"/>
      <c r="G75" s="759"/>
      <c r="H75" s="759"/>
      <c r="I75" s="759"/>
      <c r="J75" s="759"/>
      <c r="K75" s="759"/>
      <c r="L75" s="759"/>
      <c r="M75" s="759"/>
      <c r="N75" s="759"/>
      <c r="O75" s="759"/>
      <c r="P75" s="759"/>
      <c r="Q75" s="759"/>
      <c r="R75" s="759"/>
      <c r="S75" s="759"/>
    </row>
    <row r="76" spans="1:19">
      <c r="A76" s="765"/>
      <c r="B76" s="753"/>
      <c r="C76" s="759"/>
      <c r="D76" s="759"/>
      <c r="E76" s="759"/>
      <c r="F76" s="759"/>
      <c r="G76" s="759"/>
      <c r="H76" s="759"/>
      <c r="I76" s="759"/>
      <c r="J76" s="759"/>
      <c r="K76" s="759"/>
      <c r="L76" s="759"/>
      <c r="M76" s="759"/>
      <c r="N76" s="759"/>
      <c r="O76" s="759"/>
      <c r="P76" s="759"/>
      <c r="Q76" s="759"/>
      <c r="R76" s="759"/>
      <c r="S76" s="759"/>
    </row>
    <row r="77" spans="1:19">
      <c r="A77" s="765">
        <f>+A75+1</f>
        <v>16</v>
      </c>
      <c r="B77" s="749" t="s">
        <v>682</v>
      </c>
      <c r="C77" s="759"/>
      <c r="D77" s="759"/>
      <c r="E77" s="759"/>
      <c r="F77" s="759"/>
      <c r="G77" s="759"/>
      <c r="H77" s="759"/>
      <c r="I77" s="759"/>
      <c r="J77" s="759"/>
      <c r="K77" s="759"/>
      <c r="L77" s="759"/>
      <c r="M77" s="759"/>
      <c r="N77" s="759"/>
      <c r="O77" s="759"/>
      <c r="P77" s="759"/>
      <c r="Q77" s="759"/>
      <c r="R77" s="759"/>
      <c r="S77" s="759"/>
    </row>
    <row r="78" spans="1:19">
      <c r="A78" s="765"/>
      <c r="B78" s="753"/>
      <c r="C78" s="759"/>
      <c r="D78" s="759"/>
      <c r="E78" s="759"/>
      <c r="F78" s="759"/>
      <c r="G78" s="759"/>
      <c r="H78" s="759"/>
      <c r="I78" s="759"/>
      <c r="J78" s="759"/>
      <c r="K78" s="759"/>
      <c r="L78" s="759"/>
      <c r="M78" s="759"/>
      <c r="N78" s="759"/>
      <c r="O78" s="759"/>
      <c r="P78" s="759"/>
      <c r="Q78" s="759"/>
      <c r="R78" s="759"/>
      <c r="S78" s="759"/>
    </row>
    <row r="79" spans="1:19">
      <c r="A79" s="765">
        <f>+A77+1</f>
        <v>17</v>
      </c>
      <c r="B79" s="749" t="s">
        <v>683</v>
      </c>
      <c r="C79" s="759"/>
      <c r="D79" s="759"/>
      <c r="E79" s="759"/>
      <c r="F79" s="759"/>
      <c r="G79" s="759"/>
      <c r="H79" s="759"/>
      <c r="I79" s="759"/>
      <c r="J79" s="759"/>
      <c r="K79" s="759"/>
      <c r="L79" s="759"/>
      <c r="M79" s="759"/>
      <c r="N79" s="759"/>
      <c r="O79" s="759"/>
      <c r="P79" s="759"/>
      <c r="Q79" s="759"/>
      <c r="R79" s="759"/>
      <c r="S79" s="759"/>
    </row>
    <row r="80" spans="1:19">
      <c r="A80" s="765">
        <f>A79+1</f>
        <v>18</v>
      </c>
      <c r="B80" s="749" t="s">
        <v>684</v>
      </c>
      <c r="C80" s="759"/>
      <c r="D80" s="759"/>
      <c r="E80" s="759"/>
      <c r="F80" s="759"/>
      <c r="G80" s="759"/>
      <c r="H80" s="759"/>
      <c r="I80" s="759"/>
      <c r="J80" s="759"/>
      <c r="K80" s="759"/>
      <c r="L80" s="759"/>
      <c r="M80" s="759"/>
      <c r="N80" s="759"/>
      <c r="O80" s="759"/>
      <c r="P80" s="759"/>
      <c r="Q80" s="1086"/>
      <c r="R80" s="759"/>
      <c r="S80" s="759"/>
    </row>
    <row r="81" spans="1:19">
      <c r="A81" s="779">
        <f>A80+0.01</f>
        <v>18.010000000000002</v>
      </c>
      <c r="B81" s="751"/>
      <c r="C81" s="759">
        <f>SUM(M81:O81)</f>
        <v>0</v>
      </c>
      <c r="D81" s="759">
        <f>SUM(Q81:S81)</f>
        <v>0</v>
      </c>
      <c r="E81" s="759"/>
      <c r="F81" s="759"/>
      <c r="G81" s="759">
        <f>ROUND(SUM(C81:F81)/2,0)</f>
        <v>0</v>
      </c>
      <c r="H81" s="759"/>
      <c r="I81" s="759">
        <f t="shared" ref="I81:K82" si="28">(M81+Q81)/2</f>
        <v>0</v>
      </c>
      <c r="J81" s="759">
        <f t="shared" si="28"/>
        <v>0</v>
      </c>
      <c r="K81" s="759">
        <f t="shared" si="28"/>
        <v>0</v>
      </c>
      <c r="L81" s="759"/>
      <c r="M81" s="751"/>
      <c r="N81" s="751"/>
      <c r="O81" s="751"/>
      <c r="P81" s="759"/>
      <c r="Q81" s="751"/>
      <c r="R81" s="751"/>
      <c r="S81" s="751"/>
    </row>
    <row r="82" spans="1:19">
      <c r="A82" s="779">
        <f>A81+0.01</f>
        <v>18.020000000000003</v>
      </c>
      <c r="B82" s="751"/>
      <c r="C82" s="759">
        <f>SUM(M82:O82)</f>
        <v>0</v>
      </c>
      <c r="D82" s="759">
        <f>SUM(Q82:S82)</f>
        <v>0</v>
      </c>
      <c r="E82" s="759"/>
      <c r="F82" s="759"/>
      <c r="G82" s="759">
        <f>ROUND(SUM(C82:F82)/2,0)</f>
        <v>0</v>
      </c>
      <c r="H82" s="759"/>
      <c r="I82" s="759">
        <f t="shared" si="28"/>
        <v>0</v>
      </c>
      <c r="J82" s="759">
        <f t="shared" si="28"/>
        <v>0</v>
      </c>
      <c r="K82" s="759">
        <f t="shared" si="28"/>
        <v>0</v>
      </c>
      <c r="L82" s="759"/>
      <c r="M82" s="751"/>
      <c r="N82" s="751"/>
      <c r="O82" s="751"/>
      <c r="P82" s="759"/>
      <c r="Q82" s="751"/>
      <c r="R82" s="751"/>
      <c r="S82" s="751"/>
    </row>
    <row r="83" spans="1:19">
      <c r="A83" s="765">
        <f>INT(A82)+1</f>
        <v>19</v>
      </c>
      <c r="C83" s="759"/>
      <c r="D83" s="759"/>
      <c r="E83" s="759"/>
      <c r="F83" s="759"/>
      <c r="G83" s="759"/>
      <c r="H83" s="759"/>
      <c r="I83" s="759"/>
      <c r="J83" s="759"/>
      <c r="K83" s="759"/>
      <c r="L83" s="759"/>
      <c r="M83" s="759"/>
      <c r="N83" s="759"/>
      <c r="O83" s="759"/>
      <c r="P83" s="759"/>
      <c r="Q83" s="759"/>
      <c r="R83" s="759"/>
      <c r="S83" s="759"/>
    </row>
    <row r="84" spans="1:19">
      <c r="A84" s="765">
        <f>A83+1</f>
        <v>20</v>
      </c>
      <c r="B84" s="749" t="s">
        <v>685</v>
      </c>
      <c r="C84" s="761">
        <f>SUM(C81:C83)</f>
        <v>0</v>
      </c>
      <c r="D84" s="761">
        <f>SUM(D81:D83)</f>
        <v>0</v>
      </c>
      <c r="E84" s="761">
        <f>SUM(E81:E83)</f>
        <v>0</v>
      </c>
      <c r="F84" s="761">
        <f>SUM(F81:F83)</f>
        <v>0</v>
      </c>
      <c r="G84" s="761">
        <f>SUM(G81:G83)</f>
        <v>0</v>
      </c>
      <c r="H84" s="759"/>
      <c r="I84" s="761">
        <f>SUM(I81:I83)</f>
        <v>0</v>
      </c>
      <c r="J84" s="761">
        <f>SUM(J81:J83)</f>
        <v>0</v>
      </c>
      <c r="K84" s="761">
        <f>SUM(K81:K83)</f>
        <v>0</v>
      </c>
      <c r="L84" s="759"/>
      <c r="M84" s="761">
        <f>SUM(M81:M83)</f>
        <v>0</v>
      </c>
      <c r="N84" s="761">
        <f>SUM(N81:N83)</f>
        <v>0</v>
      </c>
      <c r="O84" s="761">
        <f>SUM(O81:O83)</f>
        <v>0</v>
      </c>
      <c r="P84" s="759"/>
      <c r="Q84" s="761">
        <f>SUM(Q81:Q83)</f>
        <v>0</v>
      </c>
      <c r="R84" s="761">
        <f>SUM(R81:R83)</f>
        <v>0</v>
      </c>
      <c r="S84" s="761">
        <f>SUM(S81:S83)</f>
        <v>0</v>
      </c>
    </row>
  </sheetData>
  <pageMargins left="0.7" right="0.7" top="0.75" bottom="0.75" header="0.3" footer="0.3"/>
  <pageSetup scale="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53"/>
  <sheetViews>
    <sheetView tabSelected="1" view="pageBreakPreview" topLeftCell="A13" zoomScale="85" zoomScaleNormal="100" zoomScaleSheetLayoutView="85" workbookViewId="0">
      <selection activeCell="O54" sqref="O54"/>
    </sheetView>
  </sheetViews>
  <sheetFormatPr defaultRowHeight="12.75"/>
  <cols>
    <col min="1" max="1" width="6" style="749" customWidth="1"/>
    <col min="2" max="2" width="54.5703125" style="749" bestFit="1" customWidth="1"/>
    <col min="3" max="3" width="13.42578125" style="749" bestFit="1" customWidth="1"/>
    <col min="4" max="4" width="12.85546875" style="749" bestFit="1" customWidth="1"/>
    <col min="5" max="6" width="17" style="749" customWidth="1"/>
    <col min="7" max="7" width="15.28515625" style="749" bestFit="1" customWidth="1"/>
    <col min="8" max="8" width="9.140625" style="749"/>
    <col min="9" max="9" width="13.140625" style="749" bestFit="1" customWidth="1"/>
    <col min="10" max="10" width="15" style="749" bestFit="1" customWidth="1"/>
    <col min="11" max="11" width="13.5703125" style="749" bestFit="1" customWidth="1"/>
    <col min="12" max="12" width="9.140625" style="749"/>
    <col min="13" max="13" width="13.140625" style="749" bestFit="1" customWidth="1"/>
    <col min="14" max="14" width="15" style="749" bestFit="1" customWidth="1"/>
    <col min="15" max="15" width="13.5703125" style="749" bestFit="1" customWidth="1"/>
    <col min="16" max="16" width="9.140625" style="749"/>
    <col min="17" max="17" width="13.140625" style="749" bestFit="1" customWidth="1"/>
    <col min="18" max="18" width="15" style="749" bestFit="1" customWidth="1"/>
    <col min="19" max="19" width="13.5703125" style="749" bestFit="1" customWidth="1"/>
    <col min="20" max="16384" width="9.140625" style="749"/>
  </cols>
  <sheetData>
    <row r="1" spans="1:19">
      <c r="A1" s="766"/>
      <c r="B1" s="778" t="str">
        <f>TCOS!F9</f>
        <v>AEP Indiana Michigan Transmission Company</v>
      </c>
      <c r="C1" s="753"/>
      <c r="D1" s="753"/>
      <c r="E1" s="753"/>
      <c r="F1" s="753"/>
      <c r="M1" s="753"/>
      <c r="N1" s="753"/>
      <c r="P1" s="753"/>
      <c r="Q1" s="753"/>
      <c r="R1" s="753"/>
    </row>
    <row r="2" spans="1:19">
      <c r="A2" s="766"/>
      <c r="B2" s="752" t="s">
        <v>686</v>
      </c>
      <c r="C2" s="753"/>
      <c r="D2" s="753"/>
      <c r="E2" s="753"/>
      <c r="F2" s="753"/>
      <c r="M2" s="753"/>
      <c r="N2" s="753"/>
      <c r="P2" s="753"/>
      <c r="Q2" s="753"/>
      <c r="R2" s="753"/>
    </row>
    <row r="3" spans="1:19">
      <c r="A3" s="766"/>
      <c r="B3" s="752" t="str">
        <f>"PERIOD ENDED DECEMBER 31, "&amp;TCOS!L4</f>
        <v>PERIOD ENDED DECEMBER 31, 2025</v>
      </c>
      <c r="C3" s="753"/>
      <c r="D3" s="753"/>
      <c r="E3" s="753"/>
      <c r="F3" s="753"/>
      <c r="G3" s="753"/>
      <c r="H3" s="753"/>
      <c r="I3" s="753"/>
      <c r="J3" s="753"/>
      <c r="K3" s="753"/>
      <c r="L3" s="753"/>
      <c r="M3" s="753"/>
      <c r="N3" s="753"/>
      <c r="O3" s="753"/>
      <c r="P3" s="753"/>
      <c r="Q3" s="753"/>
      <c r="R3" s="753"/>
      <c r="S3" s="753"/>
    </row>
    <row r="4" spans="1:19">
      <c r="A4" s="766"/>
      <c r="B4" s="758"/>
      <c r="C4" s="753"/>
      <c r="D4" s="753"/>
      <c r="E4" s="753"/>
      <c r="F4" s="753"/>
      <c r="G4" s="750" t="s">
        <v>687</v>
      </c>
      <c r="H4" s="753"/>
      <c r="I4" s="753"/>
      <c r="J4" s="753"/>
      <c r="K4" s="753"/>
      <c r="L4" s="753"/>
      <c r="M4" s="753"/>
      <c r="N4" s="753"/>
      <c r="O4" s="753"/>
      <c r="P4" s="753"/>
      <c r="Q4" s="753"/>
      <c r="R4" s="753"/>
      <c r="S4" s="753"/>
    </row>
    <row r="5" spans="1:19">
      <c r="A5" s="766"/>
      <c r="B5" s="753"/>
      <c r="C5" s="753"/>
      <c r="D5" s="753"/>
      <c r="E5" s="753"/>
      <c r="F5" s="753"/>
      <c r="G5" s="753"/>
      <c r="H5" s="753"/>
      <c r="I5" s="753"/>
      <c r="J5" s="753"/>
      <c r="K5" s="753"/>
      <c r="L5" s="753"/>
      <c r="M5" s="753"/>
      <c r="N5" s="753"/>
      <c r="O5" s="753"/>
      <c r="P5" s="753"/>
      <c r="Q5" s="753"/>
      <c r="R5" s="753"/>
      <c r="S5" s="753"/>
    </row>
    <row r="6" spans="1:19">
      <c r="A6" s="766"/>
      <c r="B6" s="753"/>
      <c r="C6" s="753"/>
      <c r="D6" s="753"/>
      <c r="E6" s="753"/>
      <c r="F6" s="753"/>
      <c r="G6" s="753"/>
      <c r="H6" s="750"/>
      <c r="I6" s="750"/>
      <c r="J6" s="750"/>
      <c r="K6" s="750"/>
      <c r="L6" s="750"/>
      <c r="M6" s="753"/>
      <c r="N6" s="753"/>
      <c r="O6" s="753"/>
      <c r="P6" s="753"/>
      <c r="Q6" s="753"/>
      <c r="R6" s="753"/>
      <c r="S6" s="753"/>
    </row>
    <row r="7" spans="1:19">
      <c r="A7" s="766"/>
      <c r="B7" s="753"/>
      <c r="C7" s="753"/>
      <c r="D7" s="753"/>
      <c r="E7" s="753"/>
      <c r="F7" s="753"/>
      <c r="G7" s="753"/>
      <c r="H7" s="753"/>
      <c r="I7" s="753"/>
      <c r="J7" s="753"/>
      <c r="K7" s="753"/>
      <c r="L7" s="753"/>
      <c r="M7" s="753"/>
      <c r="N7" s="753"/>
      <c r="O7" s="753"/>
      <c r="P7" s="753"/>
      <c r="Q7" s="753"/>
      <c r="R7" s="753"/>
      <c r="S7" s="753"/>
    </row>
    <row r="8" spans="1:19">
      <c r="A8" s="766"/>
      <c r="B8" s="754" t="s">
        <v>643</v>
      </c>
      <c r="C8" s="754" t="s">
        <v>644</v>
      </c>
      <c r="D8" s="754" t="s">
        <v>645</v>
      </c>
      <c r="E8" s="754" t="s">
        <v>646</v>
      </c>
      <c r="F8" s="754" t="s">
        <v>647</v>
      </c>
      <c r="G8" s="754" t="s">
        <v>648</v>
      </c>
      <c r="H8" s="754"/>
      <c r="I8" s="754" t="s">
        <v>649</v>
      </c>
      <c r="J8" s="754" t="s">
        <v>650</v>
      </c>
      <c r="K8" s="754" t="s">
        <v>651</v>
      </c>
      <c r="L8" s="754"/>
      <c r="M8" s="754" t="s">
        <v>652</v>
      </c>
      <c r="N8" s="754" t="s">
        <v>653</v>
      </c>
      <c r="O8" s="754" t="s">
        <v>654</v>
      </c>
      <c r="P8" s="753"/>
      <c r="Q8" s="754" t="s">
        <v>655</v>
      </c>
      <c r="R8" s="754" t="s">
        <v>656</v>
      </c>
      <c r="S8" s="754" t="s">
        <v>657</v>
      </c>
    </row>
    <row r="9" spans="1:19">
      <c r="A9" s="766"/>
      <c r="B9" s="753"/>
      <c r="C9" s="753"/>
      <c r="D9" s="753"/>
      <c r="E9" s="753"/>
      <c r="F9" s="753"/>
      <c r="G9" s="753"/>
      <c r="H9" s="753"/>
      <c r="I9" s="753"/>
      <c r="J9" s="753"/>
      <c r="K9" s="753"/>
      <c r="L9" s="753"/>
      <c r="M9" s="753"/>
      <c r="N9" s="753"/>
      <c r="O9" s="753"/>
      <c r="P9" s="753"/>
      <c r="Q9" s="753"/>
      <c r="R9" s="753"/>
      <c r="S9" s="753"/>
    </row>
    <row r="10" spans="1:19">
      <c r="A10" s="766"/>
      <c r="B10" s="753"/>
      <c r="C10" s="755" t="s">
        <v>658</v>
      </c>
      <c r="D10" s="755"/>
      <c r="E10" s="756" t="s">
        <v>659</v>
      </c>
      <c r="F10" s="755"/>
      <c r="G10" s="750" t="s">
        <v>660</v>
      </c>
      <c r="H10" s="750"/>
      <c r="I10" s="755" t="s">
        <v>661</v>
      </c>
      <c r="J10" s="755"/>
      <c r="K10" s="755"/>
      <c r="L10" s="750"/>
      <c r="M10" s="755" t="str">
        <f>"FUNCTIONALIZATION 12/31/"&amp;TCOS!L4-1</f>
        <v>FUNCTIONALIZATION 12/31/2024</v>
      </c>
      <c r="N10" s="755"/>
      <c r="O10" s="755"/>
      <c r="P10" s="753"/>
      <c r="Q10" s="755" t="str">
        <f>"FUNCTIONALIZATION 12/31/"&amp;TCOS!L4</f>
        <v>FUNCTIONALIZATION 12/31/2025</v>
      </c>
      <c r="R10" s="755"/>
      <c r="S10" s="755"/>
    </row>
    <row r="11" spans="1:19">
      <c r="A11" s="766"/>
      <c r="B11" s="753"/>
      <c r="C11" s="757"/>
      <c r="D11" s="757"/>
      <c r="E11" s="753"/>
      <c r="F11" s="753"/>
      <c r="G11" s="750" t="s">
        <v>662</v>
      </c>
      <c r="H11" s="750"/>
      <c r="I11" s="757"/>
      <c r="J11" s="757"/>
      <c r="K11" s="757"/>
      <c r="L11" s="750"/>
      <c r="M11" s="757"/>
      <c r="N11" s="757"/>
      <c r="O11" s="757"/>
      <c r="P11" s="753"/>
      <c r="Q11" s="757"/>
      <c r="R11" s="757"/>
      <c r="S11" s="757"/>
    </row>
    <row r="12" spans="1:19">
      <c r="A12" s="766"/>
      <c r="B12" s="753"/>
      <c r="C12" s="750" t="s">
        <v>663</v>
      </c>
      <c r="D12" s="750" t="s">
        <v>663</v>
      </c>
      <c r="E12" s="750" t="s">
        <v>663</v>
      </c>
      <c r="F12" s="750" t="s">
        <v>663</v>
      </c>
      <c r="G12" s="750" t="s">
        <v>664</v>
      </c>
      <c r="H12" s="750"/>
      <c r="I12" s="753"/>
      <c r="J12" s="753"/>
      <c r="K12" s="753"/>
      <c r="L12" s="750"/>
      <c r="M12" s="753"/>
      <c r="N12" s="753"/>
      <c r="O12" s="753"/>
      <c r="P12" s="753"/>
      <c r="Q12" s="753"/>
      <c r="R12" s="753"/>
      <c r="S12" s="753"/>
    </row>
    <row r="13" spans="1:19">
      <c r="A13" s="766"/>
      <c r="B13" s="754" t="s">
        <v>665</v>
      </c>
      <c r="C13" s="754" t="str">
        <f>"OF 12-31-"&amp;TCOS!L4-1</f>
        <v>OF 12-31-2024</v>
      </c>
      <c r="D13" s="754" t="str">
        <f>"OF 12-31-"&amp;TCOS!L4</f>
        <v>OF 12-31-2025</v>
      </c>
      <c r="E13" s="754" t="str">
        <f>"OF 12-31-"&amp;TCOS!L4-1</f>
        <v>OF 12-31-2024</v>
      </c>
      <c r="F13" s="754" t="str">
        <f>"OF 12-31-"&amp;TCOS!L4</f>
        <v>OF 12-31-2025</v>
      </c>
      <c r="G13" s="754" t="s">
        <v>666</v>
      </c>
      <c r="H13" s="754"/>
      <c r="I13" s="754" t="s">
        <v>667</v>
      </c>
      <c r="J13" s="754" t="s">
        <v>668</v>
      </c>
      <c r="K13" s="754" t="s">
        <v>669</v>
      </c>
      <c r="L13" s="754"/>
      <c r="M13" s="754" t="s">
        <v>667</v>
      </c>
      <c r="N13" s="754" t="s">
        <v>668</v>
      </c>
      <c r="O13" s="754" t="s">
        <v>669</v>
      </c>
      <c r="P13" s="753"/>
      <c r="Q13" s="754" t="s">
        <v>667</v>
      </c>
      <c r="R13" s="754" t="s">
        <v>668</v>
      </c>
      <c r="S13" s="754" t="s">
        <v>669</v>
      </c>
    </row>
    <row r="14" spans="1:19">
      <c r="A14" s="766"/>
      <c r="B14" s="753"/>
      <c r="C14" s="753"/>
      <c r="D14" s="753"/>
      <c r="E14" s="753"/>
      <c r="F14" s="753"/>
      <c r="G14" s="753"/>
      <c r="H14" s="753"/>
      <c r="I14" s="753"/>
      <c r="J14" s="753"/>
      <c r="K14" s="753"/>
      <c r="L14" s="753"/>
      <c r="M14" s="753"/>
      <c r="N14" s="753"/>
      <c r="O14" s="753"/>
      <c r="P14" s="753"/>
      <c r="Q14" s="753"/>
      <c r="R14" s="753"/>
      <c r="S14" s="753"/>
    </row>
    <row r="15" spans="1:19">
      <c r="A15" s="767">
        <v>1</v>
      </c>
      <c r="B15" s="759" t="s">
        <v>688</v>
      </c>
      <c r="C15" s="759"/>
      <c r="D15" s="759"/>
      <c r="E15" s="759"/>
      <c r="F15" s="760"/>
      <c r="G15" s="759"/>
      <c r="H15" s="759"/>
      <c r="I15" s="759"/>
      <c r="J15" s="759"/>
      <c r="K15" s="759"/>
      <c r="L15" s="759"/>
      <c r="M15" s="759"/>
      <c r="N15" s="759"/>
      <c r="O15" s="759"/>
      <c r="P15" s="759"/>
      <c r="Q15" s="759"/>
      <c r="R15" s="759"/>
      <c r="S15" s="759"/>
    </row>
    <row r="16" spans="1:19">
      <c r="A16" s="767"/>
      <c r="B16" s="759"/>
      <c r="C16" s="759"/>
      <c r="D16" s="759"/>
      <c r="E16" s="759"/>
      <c r="F16" s="759"/>
      <c r="G16" s="759"/>
      <c r="H16" s="759"/>
      <c r="I16" s="759"/>
      <c r="J16" s="759"/>
      <c r="K16" s="759"/>
      <c r="L16" s="759"/>
      <c r="M16" s="759"/>
      <c r="N16" s="759"/>
      <c r="O16" s="759"/>
      <c r="P16" s="759"/>
      <c r="Q16" s="759"/>
      <c r="R16" s="759"/>
      <c r="S16" s="759"/>
    </row>
    <row r="17" spans="1:19">
      <c r="A17" s="772">
        <v>2.0099999999999998</v>
      </c>
      <c r="B17" s="751" t="s">
        <v>1081</v>
      </c>
      <c r="C17" s="759">
        <f t="shared" ref="C17:C18" si="0">SUM(M17:O17)</f>
        <v>0</v>
      </c>
      <c r="D17" s="759">
        <f t="shared" ref="D17:D18" si="1">SUM(Q17:S17)</f>
        <v>70387634</v>
      </c>
      <c r="E17" s="759"/>
      <c r="F17" s="759"/>
      <c r="G17" s="759">
        <f t="shared" ref="G17:G18" si="2">ROUND(SUM(C17:F17)/2,0)</f>
        <v>35193817</v>
      </c>
      <c r="H17" s="759"/>
      <c r="I17" s="759">
        <f t="shared" ref="I17:I18" si="3">(M17+Q17)/2</f>
        <v>0</v>
      </c>
      <c r="J17" s="759">
        <f t="shared" ref="J17:J18" si="4">(N17+R17)/2</f>
        <v>35193817</v>
      </c>
      <c r="K17" s="759">
        <f t="shared" ref="K17:K18" si="5">(O17+S17)/2</f>
        <v>0</v>
      </c>
      <c r="L17" s="759"/>
      <c r="M17" s="751"/>
      <c r="N17" s="751">
        <v>0</v>
      </c>
      <c r="O17" s="751"/>
      <c r="P17" s="759"/>
      <c r="Q17" s="751"/>
      <c r="R17" s="751">
        <v>70387634</v>
      </c>
      <c r="S17" s="751"/>
    </row>
    <row r="18" spans="1:19">
      <c r="A18" s="772">
        <f t="shared" ref="A18:A49" si="6">A17+0.01</f>
        <v>2.0199999999999996</v>
      </c>
      <c r="B18" s="751" t="s">
        <v>1082</v>
      </c>
      <c r="C18" s="759">
        <f t="shared" si="0"/>
        <v>0</v>
      </c>
      <c r="D18" s="759">
        <f t="shared" si="1"/>
        <v>1960439</v>
      </c>
      <c r="E18" s="759"/>
      <c r="F18" s="759"/>
      <c r="G18" s="759">
        <f t="shared" si="2"/>
        <v>980220</v>
      </c>
      <c r="H18" s="759"/>
      <c r="I18" s="759">
        <f t="shared" si="3"/>
        <v>0</v>
      </c>
      <c r="J18" s="759">
        <f t="shared" si="4"/>
        <v>980219.5</v>
      </c>
      <c r="K18" s="759">
        <f t="shared" si="5"/>
        <v>0</v>
      </c>
      <c r="L18" s="759"/>
      <c r="M18" s="751"/>
      <c r="N18" s="751">
        <v>0</v>
      </c>
      <c r="O18" s="751"/>
      <c r="P18" s="759"/>
      <c r="Q18" s="751"/>
      <c r="R18" s="751">
        <v>1960439</v>
      </c>
      <c r="S18" s="751"/>
    </row>
    <row r="19" spans="1:19">
      <c r="A19" s="772">
        <f t="shared" si="6"/>
        <v>2.0299999999999994</v>
      </c>
      <c r="B19" s="751" t="s">
        <v>1001</v>
      </c>
      <c r="C19" s="759">
        <f t="shared" ref="C19:C40" si="7">SUM(M19:O19)</f>
        <v>-0.28999999999999998</v>
      </c>
      <c r="D19" s="759">
        <f t="shared" ref="D19:D40" si="8">SUM(Q19:S19)</f>
        <v>-0.49</v>
      </c>
      <c r="E19" s="759"/>
      <c r="F19" s="759"/>
      <c r="G19" s="759">
        <f t="shared" ref="G19:G40" si="9">ROUND(SUM(C19:F19)/2,0)</f>
        <v>0</v>
      </c>
      <c r="H19" s="759"/>
      <c r="I19" s="759">
        <f t="shared" ref="I19:I40" si="10">(M19+Q19)/2</f>
        <v>0</v>
      </c>
      <c r="J19" s="759">
        <f t="shared" ref="J19:J40" si="11">(N19+R19)/2</f>
        <v>-0.39</v>
      </c>
      <c r="K19" s="759">
        <f t="shared" ref="K19:K40" si="12">(O19+S19)/2</f>
        <v>0</v>
      </c>
      <c r="L19" s="759"/>
      <c r="M19" s="751"/>
      <c r="N19" s="751">
        <v>-0.28999999999999998</v>
      </c>
      <c r="O19" s="751"/>
      <c r="P19" s="759"/>
      <c r="Q19" s="751"/>
      <c r="R19" s="751">
        <v>-0.49</v>
      </c>
      <c r="S19" s="751"/>
    </row>
    <row r="20" spans="1:19">
      <c r="A20" s="772">
        <f t="shared" si="6"/>
        <v>2.0399999999999991</v>
      </c>
      <c r="B20" s="751" t="s">
        <v>1002</v>
      </c>
      <c r="C20" s="759">
        <f t="shared" si="7"/>
        <v>734914.8</v>
      </c>
      <c r="D20" s="759">
        <f t="shared" si="8"/>
        <v>797184.99</v>
      </c>
      <c r="E20" s="759"/>
      <c r="F20" s="759"/>
      <c r="G20" s="759">
        <f t="shared" si="9"/>
        <v>766050</v>
      </c>
      <c r="H20" s="759"/>
      <c r="I20" s="759">
        <f t="shared" si="10"/>
        <v>0</v>
      </c>
      <c r="J20" s="759">
        <f t="shared" si="11"/>
        <v>766049.89500000002</v>
      </c>
      <c r="K20" s="759">
        <f t="shared" si="12"/>
        <v>0</v>
      </c>
      <c r="L20" s="759"/>
      <c r="M20" s="751"/>
      <c r="N20" s="751">
        <v>734914.8</v>
      </c>
      <c r="O20" s="751"/>
      <c r="P20" s="759"/>
      <c r="Q20" s="751"/>
      <c r="R20" s="751">
        <v>797184.99</v>
      </c>
      <c r="S20" s="751"/>
    </row>
    <row r="21" spans="1:19">
      <c r="A21" s="772">
        <f t="shared" si="6"/>
        <v>2.0499999999999989</v>
      </c>
      <c r="B21" s="751" t="s">
        <v>1003</v>
      </c>
      <c r="C21" s="759">
        <f t="shared" si="7"/>
        <v>-148877.62</v>
      </c>
      <c r="D21" s="759">
        <f t="shared" si="8"/>
        <v>-169272.92</v>
      </c>
      <c r="E21" s="759"/>
      <c r="F21" s="759"/>
      <c r="G21" s="759">
        <f t="shared" si="9"/>
        <v>-159075</v>
      </c>
      <c r="H21" s="759"/>
      <c r="I21" s="759">
        <f t="shared" si="10"/>
        <v>0</v>
      </c>
      <c r="J21" s="759">
        <f t="shared" si="11"/>
        <v>-159075.27000000002</v>
      </c>
      <c r="K21" s="759">
        <f t="shared" si="12"/>
        <v>0</v>
      </c>
      <c r="L21" s="759"/>
      <c r="M21" s="751"/>
      <c r="N21" s="751">
        <v>-148877.62</v>
      </c>
      <c r="O21" s="751"/>
      <c r="P21" s="759"/>
      <c r="Q21" s="751"/>
      <c r="R21" s="751">
        <v>-169272.92</v>
      </c>
      <c r="S21" s="751"/>
    </row>
    <row r="22" spans="1:19">
      <c r="A22" s="772">
        <f t="shared" si="6"/>
        <v>2.0599999999999987</v>
      </c>
      <c r="B22" s="751" t="s">
        <v>1004</v>
      </c>
      <c r="C22" s="759">
        <f t="shared" si="7"/>
        <v>21891.360000000001</v>
      </c>
      <c r="D22" s="759">
        <f t="shared" si="8"/>
        <v>-123068.55</v>
      </c>
      <c r="E22" s="759"/>
      <c r="F22" s="759"/>
      <c r="G22" s="759">
        <f t="shared" si="9"/>
        <v>-50589</v>
      </c>
      <c r="H22" s="759"/>
      <c r="I22" s="759">
        <f t="shared" si="10"/>
        <v>0</v>
      </c>
      <c r="J22" s="759">
        <f t="shared" si="11"/>
        <v>-50588.595000000001</v>
      </c>
      <c r="K22" s="759">
        <f t="shared" si="12"/>
        <v>0</v>
      </c>
      <c r="L22" s="759"/>
      <c r="M22" s="751"/>
      <c r="N22" s="751">
        <v>21891.360000000001</v>
      </c>
      <c r="O22" s="751"/>
      <c r="P22" s="759"/>
      <c r="Q22" s="751"/>
      <c r="R22" s="751">
        <v>-123068.55</v>
      </c>
      <c r="S22" s="751"/>
    </row>
    <row r="23" spans="1:19">
      <c r="A23" s="772">
        <f t="shared" si="6"/>
        <v>2.0699999999999985</v>
      </c>
      <c r="B23" s="751" t="s">
        <v>1005</v>
      </c>
      <c r="C23" s="759">
        <f t="shared" si="7"/>
        <v>-1524498.4300000002</v>
      </c>
      <c r="D23" s="759">
        <f t="shared" si="8"/>
        <v>-1654153.4</v>
      </c>
      <c r="E23" s="759"/>
      <c r="F23" s="759"/>
      <c r="G23" s="759">
        <f t="shared" si="9"/>
        <v>-1589326</v>
      </c>
      <c r="H23" s="759"/>
      <c r="I23" s="759">
        <f t="shared" si="10"/>
        <v>0</v>
      </c>
      <c r="J23" s="759">
        <f t="shared" si="11"/>
        <v>-1589325.915</v>
      </c>
      <c r="K23" s="759">
        <f t="shared" si="12"/>
        <v>0</v>
      </c>
      <c r="L23" s="759"/>
      <c r="M23" s="751"/>
      <c r="N23" s="751">
        <v>-1524498.4300000002</v>
      </c>
      <c r="O23" s="751"/>
      <c r="P23" s="759"/>
      <c r="Q23" s="751"/>
      <c r="R23" s="751">
        <v>-1654153.4</v>
      </c>
      <c r="S23" s="751"/>
    </row>
    <row r="24" spans="1:19">
      <c r="A24" s="772">
        <f t="shared" si="6"/>
        <v>2.0799999999999983</v>
      </c>
      <c r="B24" s="751" t="s">
        <v>1006</v>
      </c>
      <c r="C24" s="759">
        <f t="shared" si="7"/>
        <v>15188877.050000001</v>
      </c>
      <c r="D24" s="759">
        <f t="shared" si="8"/>
        <v>16232290.58</v>
      </c>
      <c r="E24" s="759"/>
      <c r="F24" s="759"/>
      <c r="G24" s="759">
        <f t="shared" si="9"/>
        <v>15710584</v>
      </c>
      <c r="H24" s="759"/>
      <c r="I24" s="759">
        <f t="shared" si="10"/>
        <v>0</v>
      </c>
      <c r="J24" s="759">
        <f t="shared" si="11"/>
        <v>15710583.815000001</v>
      </c>
      <c r="K24" s="759">
        <f t="shared" si="12"/>
        <v>0</v>
      </c>
      <c r="L24" s="759"/>
      <c r="M24" s="751"/>
      <c r="N24" s="751">
        <v>15188877.050000001</v>
      </c>
      <c r="O24" s="751"/>
      <c r="P24" s="759"/>
      <c r="Q24" s="751"/>
      <c r="R24" s="751">
        <v>16232290.58</v>
      </c>
      <c r="S24" s="751"/>
    </row>
    <row r="25" spans="1:19">
      <c r="A25" s="772">
        <f t="shared" si="6"/>
        <v>2.0899999999999981</v>
      </c>
      <c r="B25" s="751" t="s">
        <v>1007</v>
      </c>
      <c r="C25" s="759">
        <f t="shared" si="7"/>
        <v>1988.8300000000002</v>
      </c>
      <c r="D25" s="759">
        <f t="shared" si="8"/>
        <v>1986.29</v>
      </c>
      <c r="E25" s="759"/>
      <c r="F25" s="759"/>
      <c r="G25" s="759">
        <f t="shared" si="9"/>
        <v>1988</v>
      </c>
      <c r="H25" s="759"/>
      <c r="I25" s="759">
        <f t="shared" si="10"/>
        <v>0</v>
      </c>
      <c r="J25" s="759">
        <f t="shared" si="11"/>
        <v>1987.56</v>
      </c>
      <c r="K25" s="759">
        <f t="shared" si="12"/>
        <v>0</v>
      </c>
      <c r="L25" s="759"/>
      <c r="M25" s="751"/>
      <c r="N25" s="751">
        <v>1988.8300000000002</v>
      </c>
      <c r="O25" s="751"/>
      <c r="P25" s="759"/>
      <c r="Q25" s="751"/>
      <c r="R25" s="751">
        <v>1986.29</v>
      </c>
      <c r="S25" s="751"/>
    </row>
    <row r="26" spans="1:19">
      <c r="A26" s="772">
        <f t="shared" si="6"/>
        <v>2.0999999999999979</v>
      </c>
      <c r="B26" s="751" t="s">
        <v>1008</v>
      </c>
      <c r="C26" s="759">
        <f t="shared" si="7"/>
        <v>1298.3700000000001</v>
      </c>
      <c r="D26" s="759">
        <f t="shared" si="8"/>
        <v>1296.71</v>
      </c>
      <c r="E26" s="759"/>
      <c r="F26" s="759"/>
      <c r="G26" s="759">
        <f t="shared" si="9"/>
        <v>1298</v>
      </c>
      <c r="H26" s="759"/>
      <c r="I26" s="759">
        <f t="shared" si="10"/>
        <v>0</v>
      </c>
      <c r="J26" s="759">
        <f t="shared" si="11"/>
        <v>1297.54</v>
      </c>
      <c r="K26" s="759">
        <f t="shared" si="12"/>
        <v>0</v>
      </c>
      <c r="L26" s="759"/>
      <c r="M26" s="751"/>
      <c r="N26" s="751">
        <v>1298.3700000000001</v>
      </c>
      <c r="O26" s="751"/>
      <c r="P26" s="759"/>
      <c r="Q26" s="751"/>
      <c r="R26" s="751">
        <v>1296.71</v>
      </c>
      <c r="S26" s="751"/>
    </row>
    <row r="27" spans="1:19">
      <c r="A27" s="772">
        <f t="shared" si="6"/>
        <v>2.1099999999999977</v>
      </c>
      <c r="B27" s="751" t="s">
        <v>1009</v>
      </c>
      <c r="C27" s="759">
        <f t="shared" si="7"/>
        <v>852149.45000000007</v>
      </c>
      <c r="D27" s="759">
        <f t="shared" si="8"/>
        <v>879249.63</v>
      </c>
      <c r="E27" s="759"/>
      <c r="F27" s="759"/>
      <c r="G27" s="759">
        <f t="shared" si="9"/>
        <v>865700</v>
      </c>
      <c r="H27" s="759"/>
      <c r="I27" s="759">
        <f t="shared" si="10"/>
        <v>0</v>
      </c>
      <c r="J27" s="759">
        <f t="shared" si="11"/>
        <v>865699.54</v>
      </c>
      <c r="K27" s="759">
        <f t="shared" si="12"/>
        <v>0</v>
      </c>
      <c r="L27" s="759"/>
      <c r="M27" s="751"/>
      <c r="N27" s="751">
        <v>852149.45000000007</v>
      </c>
      <c r="O27" s="751"/>
      <c r="P27" s="759"/>
      <c r="Q27" s="751"/>
      <c r="R27" s="751">
        <v>879249.63</v>
      </c>
      <c r="S27" s="751"/>
    </row>
    <row r="28" spans="1:19">
      <c r="A28" s="772">
        <f t="shared" si="6"/>
        <v>2.1199999999999974</v>
      </c>
      <c r="B28" s="751" t="s">
        <v>1010</v>
      </c>
      <c r="C28" s="759">
        <f t="shared" si="7"/>
        <v>-3.18</v>
      </c>
      <c r="D28" s="759">
        <f t="shared" si="8"/>
        <v>-3.18</v>
      </c>
      <c r="E28" s="759"/>
      <c r="F28" s="759"/>
      <c r="G28" s="759">
        <f t="shared" si="9"/>
        <v>-3</v>
      </c>
      <c r="H28" s="759"/>
      <c r="I28" s="759">
        <f t="shared" si="10"/>
        <v>0</v>
      </c>
      <c r="J28" s="759">
        <f t="shared" si="11"/>
        <v>-3.18</v>
      </c>
      <c r="K28" s="759">
        <f t="shared" si="12"/>
        <v>0</v>
      </c>
      <c r="L28" s="759"/>
      <c r="M28" s="751"/>
      <c r="N28" s="751">
        <v>-3.18</v>
      </c>
      <c r="O28" s="751"/>
      <c r="P28" s="759"/>
      <c r="Q28" s="751"/>
      <c r="R28" s="751">
        <v>-3.18</v>
      </c>
      <c r="S28" s="751"/>
    </row>
    <row r="29" spans="1:19">
      <c r="A29" s="772">
        <f t="shared" si="6"/>
        <v>2.1299999999999972</v>
      </c>
      <c r="B29" s="751" t="s">
        <v>1011</v>
      </c>
      <c r="C29" s="759">
        <f t="shared" si="7"/>
        <v>-102551.01000000001</v>
      </c>
      <c r="D29" s="759">
        <f t="shared" si="8"/>
        <v>0</v>
      </c>
      <c r="E29" s="759"/>
      <c r="F29" s="759"/>
      <c r="G29" s="759">
        <f t="shared" si="9"/>
        <v>-51276</v>
      </c>
      <c r="H29" s="759"/>
      <c r="I29" s="759">
        <f t="shared" si="10"/>
        <v>0</v>
      </c>
      <c r="J29" s="759">
        <f t="shared" si="11"/>
        <v>-51275.505000000005</v>
      </c>
      <c r="K29" s="759">
        <f t="shared" si="12"/>
        <v>0</v>
      </c>
      <c r="L29" s="759"/>
      <c r="M29" s="751"/>
      <c r="N29" s="751">
        <v>-102551.01000000001</v>
      </c>
      <c r="O29" s="751"/>
      <c r="P29" s="759"/>
      <c r="Q29" s="751"/>
      <c r="R29" s="751">
        <v>0</v>
      </c>
      <c r="S29" s="751"/>
    </row>
    <row r="30" spans="1:19">
      <c r="A30" s="772">
        <f t="shared" si="6"/>
        <v>2.139999999999997</v>
      </c>
      <c r="B30" s="751" t="s">
        <v>1012</v>
      </c>
      <c r="C30" s="759">
        <f t="shared" si="7"/>
        <v>0</v>
      </c>
      <c r="D30" s="759">
        <f t="shared" si="8"/>
        <v>0</v>
      </c>
      <c r="E30" s="759"/>
      <c r="F30" s="759"/>
      <c r="G30" s="759">
        <f t="shared" si="9"/>
        <v>0</v>
      </c>
      <c r="H30" s="759"/>
      <c r="I30" s="759">
        <f t="shared" si="10"/>
        <v>0</v>
      </c>
      <c r="J30" s="759">
        <f t="shared" si="11"/>
        <v>0</v>
      </c>
      <c r="K30" s="759">
        <f t="shared" si="12"/>
        <v>0</v>
      </c>
      <c r="L30" s="759"/>
      <c r="M30" s="751"/>
      <c r="N30" s="751"/>
      <c r="O30" s="751"/>
      <c r="P30" s="759"/>
      <c r="Q30" s="751"/>
      <c r="R30" s="751"/>
      <c r="S30" s="751"/>
    </row>
    <row r="31" spans="1:19">
      <c r="A31" s="772">
        <f t="shared" si="6"/>
        <v>2.1499999999999968</v>
      </c>
      <c r="B31" s="751" t="s">
        <v>1013</v>
      </c>
      <c r="C31" s="759">
        <f t="shared" si="7"/>
        <v>-112588.12</v>
      </c>
      <c r="D31" s="759">
        <f t="shared" si="8"/>
        <v>-288847.08</v>
      </c>
      <c r="E31" s="759"/>
      <c r="F31" s="759"/>
      <c r="G31" s="759">
        <f t="shared" si="9"/>
        <v>-200718</v>
      </c>
      <c r="H31" s="759"/>
      <c r="I31" s="759">
        <f t="shared" si="10"/>
        <v>0</v>
      </c>
      <c r="J31" s="759">
        <f t="shared" si="11"/>
        <v>-200717.6</v>
      </c>
      <c r="K31" s="759">
        <f t="shared" si="12"/>
        <v>0</v>
      </c>
      <c r="L31" s="759"/>
      <c r="M31" s="751"/>
      <c r="N31" s="751">
        <v>-112588.12</v>
      </c>
      <c r="O31" s="751"/>
      <c r="P31" s="759"/>
      <c r="Q31" s="751"/>
      <c r="R31" s="751">
        <v>-288847.08</v>
      </c>
      <c r="S31" s="751"/>
    </row>
    <row r="32" spans="1:19">
      <c r="A32" s="772">
        <f t="shared" si="6"/>
        <v>2.1599999999999966</v>
      </c>
      <c r="B32" s="751" t="s">
        <v>1014</v>
      </c>
      <c r="C32" s="759">
        <f t="shared" si="7"/>
        <v>-4952.3599999999997</v>
      </c>
      <c r="D32" s="759">
        <f t="shared" si="8"/>
        <v>-5048.41</v>
      </c>
      <c r="E32" s="759"/>
      <c r="F32" s="759"/>
      <c r="G32" s="759">
        <f t="shared" si="9"/>
        <v>-5000</v>
      </c>
      <c r="H32" s="759"/>
      <c r="I32" s="759">
        <f t="shared" si="10"/>
        <v>0</v>
      </c>
      <c r="J32" s="759">
        <f t="shared" si="11"/>
        <v>-5000.3850000000002</v>
      </c>
      <c r="K32" s="759">
        <f t="shared" si="12"/>
        <v>0</v>
      </c>
      <c r="L32" s="759"/>
      <c r="M32" s="751"/>
      <c r="N32" s="751">
        <v>-4952.3599999999997</v>
      </c>
      <c r="O32" s="751"/>
      <c r="P32" s="759"/>
      <c r="Q32" s="751"/>
      <c r="R32" s="751">
        <v>-5048.41</v>
      </c>
      <c r="S32" s="751"/>
    </row>
    <row r="33" spans="1:19">
      <c r="A33" s="772">
        <f t="shared" si="6"/>
        <v>2.1699999999999964</v>
      </c>
      <c r="B33" s="751" t="s">
        <v>1015</v>
      </c>
      <c r="C33" s="759">
        <f t="shared" si="7"/>
        <v>27300.41</v>
      </c>
      <c r="D33" s="759">
        <f t="shared" si="8"/>
        <v>76541.350000000006</v>
      </c>
      <c r="E33" s="759"/>
      <c r="F33" s="759"/>
      <c r="G33" s="759">
        <f t="shared" si="9"/>
        <v>51921</v>
      </c>
      <c r="H33" s="759"/>
      <c r="I33" s="759">
        <f t="shared" si="10"/>
        <v>0</v>
      </c>
      <c r="J33" s="759">
        <f t="shared" si="11"/>
        <v>51920.880000000005</v>
      </c>
      <c r="K33" s="759">
        <f t="shared" si="12"/>
        <v>0</v>
      </c>
      <c r="L33" s="759"/>
      <c r="M33" s="751"/>
      <c r="N33" s="751">
        <v>27300.41</v>
      </c>
      <c r="O33" s="751"/>
      <c r="P33" s="759"/>
      <c r="Q33" s="751"/>
      <c r="R33" s="751">
        <v>76541.350000000006</v>
      </c>
      <c r="S33" s="751"/>
    </row>
    <row r="34" spans="1:19">
      <c r="A34" s="772">
        <f t="shared" si="6"/>
        <v>2.1799999999999962</v>
      </c>
      <c r="B34" s="751" t="s">
        <v>1016</v>
      </c>
      <c r="C34" s="759">
        <f t="shared" si="7"/>
        <v>-45931.89</v>
      </c>
      <c r="D34" s="759">
        <f t="shared" si="8"/>
        <v>0</v>
      </c>
      <c r="E34" s="759"/>
      <c r="F34" s="759"/>
      <c r="G34" s="759">
        <f t="shared" si="9"/>
        <v>-22966</v>
      </c>
      <c r="H34" s="759"/>
      <c r="I34" s="759">
        <f t="shared" si="10"/>
        <v>0</v>
      </c>
      <c r="J34" s="759">
        <f t="shared" si="11"/>
        <v>-22965.945</v>
      </c>
      <c r="K34" s="759">
        <f t="shared" si="12"/>
        <v>0</v>
      </c>
      <c r="L34" s="759"/>
      <c r="M34" s="751"/>
      <c r="N34" s="751">
        <v>-45931.89</v>
      </c>
      <c r="O34" s="751"/>
      <c r="P34" s="759"/>
      <c r="Q34" s="751"/>
      <c r="R34" s="751">
        <v>0</v>
      </c>
      <c r="S34" s="751"/>
    </row>
    <row r="35" spans="1:19">
      <c r="A35" s="772">
        <f t="shared" si="6"/>
        <v>2.1899999999999959</v>
      </c>
      <c r="B35" s="751" t="s">
        <v>1017</v>
      </c>
      <c r="C35" s="759">
        <f t="shared" si="7"/>
        <v>2235.6799999999998</v>
      </c>
      <c r="D35" s="759">
        <f t="shared" si="8"/>
        <v>32992.910000000003</v>
      </c>
      <c r="E35" s="759"/>
      <c r="F35" s="759"/>
      <c r="G35" s="759">
        <f t="shared" si="9"/>
        <v>17614</v>
      </c>
      <c r="H35" s="759"/>
      <c r="I35" s="759">
        <f t="shared" si="10"/>
        <v>0</v>
      </c>
      <c r="J35" s="759">
        <f t="shared" si="11"/>
        <v>17614.295000000002</v>
      </c>
      <c r="K35" s="759">
        <f t="shared" si="12"/>
        <v>0</v>
      </c>
      <c r="L35" s="759"/>
      <c r="M35" s="751"/>
      <c r="N35" s="751">
        <v>2235.6799999999998</v>
      </c>
      <c r="O35" s="751"/>
      <c r="P35" s="759"/>
      <c r="Q35" s="751"/>
      <c r="R35" s="751">
        <v>32992.910000000003</v>
      </c>
      <c r="S35" s="751"/>
    </row>
    <row r="36" spans="1:19">
      <c r="A36" s="772">
        <f t="shared" si="6"/>
        <v>2.1999999999999957</v>
      </c>
      <c r="B36" s="751" t="s">
        <v>1018</v>
      </c>
      <c r="C36" s="759">
        <f t="shared" si="7"/>
        <v>175949.22</v>
      </c>
      <c r="D36" s="759">
        <f t="shared" si="8"/>
        <v>141584.22</v>
      </c>
      <c r="E36" s="759"/>
      <c r="F36" s="759"/>
      <c r="G36" s="759">
        <f t="shared" si="9"/>
        <v>158767</v>
      </c>
      <c r="H36" s="759"/>
      <c r="I36" s="759">
        <f t="shared" si="10"/>
        <v>0</v>
      </c>
      <c r="J36" s="759">
        <f t="shared" si="11"/>
        <v>158766.72</v>
      </c>
      <c r="K36" s="759">
        <f t="shared" si="12"/>
        <v>0</v>
      </c>
      <c r="L36" s="759"/>
      <c r="M36" s="751"/>
      <c r="N36" s="751">
        <v>175949.22</v>
      </c>
      <c r="O36" s="751"/>
      <c r="P36" s="759"/>
      <c r="Q36" s="751"/>
      <c r="R36" s="751">
        <v>141584.22</v>
      </c>
      <c r="S36" s="751"/>
    </row>
    <row r="37" spans="1:19">
      <c r="A37" s="772">
        <f t="shared" si="6"/>
        <v>2.2099999999999955</v>
      </c>
      <c r="B37" s="751" t="s">
        <v>1019</v>
      </c>
      <c r="C37" s="759">
        <f t="shared" si="7"/>
        <v>8616.59</v>
      </c>
      <c r="D37" s="759">
        <f t="shared" si="8"/>
        <v>6803.39</v>
      </c>
      <c r="E37" s="759"/>
      <c r="F37" s="759"/>
      <c r="G37" s="759">
        <f t="shared" si="9"/>
        <v>7710</v>
      </c>
      <c r="H37" s="759"/>
      <c r="I37" s="759">
        <f t="shared" si="10"/>
        <v>0</v>
      </c>
      <c r="J37" s="759">
        <f t="shared" si="11"/>
        <v>7709.99</v>
      </c>
      <c r="K37" s="759">
        <f t="shared" si="12"/>
        <v>0</v>
      </c>
      <c r="L37" s="759"/>
      <c r="M37" s="751"/>
      <c r="N37" s="751">
        <v>8616.59</v>
      </c>
      <c r="O37" s="751"/>
      <c r="P37" s="759"/>
      <c r="Q37" s="751"/>
      <c r="R37" s="751">
        <v>6803.39</v>
      </c>
      <c r="S37" s="751"/>
    </row>
    <row r="38" spans="1:19">
      <c r="A38" s="772">
        <f t="shared" si="6"/>
        <v>2.2199999999999953</v>
      </c>
      <c r="B38" s="751" t="s">
        <v>1020</v>
      </c>
      <c r="C38" s="759">
        <f t="shared" si="7"/>
        <v>176162.39</v>
      </c>
      <c r="D38" s="759">
        <f t="shared" si="8"/>
        <v>0</v>
      </c>
      <c r="E38" s="759"/>
      <c r="F38" s="759"/>
      <c r="G38" s="759">
        <f t="shared" si="9"/>
        <v>88081</v>
      </c>
      <c r="H38" s="759"/>
      <c r="I38" s="759">
        <f t="shared" si="10"/>
        <v>0</v>
      </c>
      <c r="J38" s="759">
        <f t="shared" si="11"/>
        <v>88081.195000000007</v>
      </c>
      <c r="K38" s="759">
        <f t="shared" si="12"/>
        <v>0</v>
      </c>
      <c r="L38" s="759"/>
      <c r="M38" s="751"/>
      <c r="N38" s="751">
        <v>176162.39</v>
      </c>
      <c r="O38" s="751"/>
      <c r="P38" s="759"/>
      <c r="Q38" s="751"/>
      <c r="R38" s="751">
        <v>0</v>
      </c>
      <c r="S38" s="751"/>
    </row>
    <row r="39" spans="1:19">
      <c r="A39" s="772">
        <f t="shared" si="6"/>
        <v>2.2299999999999951</v>
      </c>
      <c r="B39" s="751" t="s">
        <v>1021</v>
      </c>
      <c r="C39" s="759">
        <f t="shared" si="7"/>
        <v>-2786726.96</v>
      </c>
      <c r="D39" s="759">
        <f t="shared" si="8"/>
        <v>-2357837.14</v>
      </c>
      <c r="E39" s="759"/>
      <c r="F39" s="759"/>
      <c r="G39" s="759">
        <f t="shared" si="9"/>
        <v>-2572282</v>
      </c>
      <c r="H39" s="759"/>
      <c r="I39" s="759">
        <f t="shared" si="10"/>
        <v>0</v>
      </c>
      <c r="J39" s="759">
        <f t="shared" si="11"/>
        <v>-2572282.0499999998</v>
      </c>
      <c r="K39" s="759">
        <f t="shared" si="12"/>
        <v>0</v>
      </c>
      <c r="L39" s="759"/>
      <c r="M39" s="751"/>
      <c r="N39" s="751">
        <v>-2786726.96</v>
      </c>
      <c r="O39" s="751"/>
      <c r="P39" s="759"/>
      <c r="Q39" s="751"/>
      <c r="R39" s="751">
        <v>-2357837.14</v>
      </c>
      <c r="S39" s="751"/>
    </row>
    <row r="40" spans="1:19">
      <c r="A40" s="772">
        <f t="shared" si="6"/>
        <v>2.2399999999999949</v>
      </c>
      <c r="B40" s="751" t="s">
        <v>1022</v>
      </c>
      <c r="C40" s="759">
        <f t="shared" si="7"/>
        <v>-381941.76000000001</v>
      </c>
      <c r="D40" s="759">
        <f t="shared" si="8"/>
        <v>-323629.28000000003</v>
      </c>
      <c r="E40" s="759"/>
      <c r="F40" s="759"/>
      <c r="G40" s="759">
        <f t="shared" si="9"/>
        <v>-352786</v>
      </c>
      <c r="H40" s="759"/>
      <c r="I40" s="759">
        <f t="shared" si="10"/>
        <v>0</v>
      </c>
      <c r="J40" s="759">
        <f t="shared" si="11"/>
        <v>-352785.52</v>
      </c>
      <c r="K40" s="759">
        <f t="shared" si="12"/>
        <v>0</v>
      </c>
      <c r="L40" s="759"/>
      <c r="M40" s="751"/>
      <c r="N40" s="751">
        <v>-381941.76000000001</v>
      </c>
      <c r="O40" s="751"/>
      <c r="P40" s="759"/>
      <c r="Q40" s="751"/>
      <c r="R40" s="751">
        <v>-323629.28000000003</v>
      </c>
      <c r="S40" s="751"/>
    </row>
    <row r="41" spans="1:19">
      <c r="A41" s="772">
        <f t="shared" si="6"/>
        <v>2.2499999999999947</v>
      </c>
      <c r="B41" s="1029" t="s">
        <v>925</v>
      </c>
      <c r="C41" s="1029">
        <f t="shared" ref="C41" si="13">SUM(M41:O41)</f>
        <v>13920468.115313809</v>
      </c>
      <c r="D41" s="1029">
        <f t="shared" ref="D41" si="14">SUM(Q41:S41)</f>
        <v>0</v>
      </c>
      <c r="E41" s="1030"/>
      <c r="F41" s="1030"/>
      <c r="G41" s="1031">
        <f t="shared" ref="G41:G42" si="15">ROUND(SUM(C41:F41)/2,0)</f>
        <v>6960234</v>
      </c>
      <c r="H41" s="1031"/>
      <c r="I41" s="1031">
        <f t="shared" ref="I41:K41" si="16">(M41+Q41)/2</f>
        <v>0</v>
      </c>
      <c r="J41" s="1031">
        <f t="shared" si="16"/>
        <v>6960234.0576569047</v>
      </c>
      <c r="K41" s="1031">
        <f t="shared" si="16"/>
        <v>0</v>
      </c>
      <c r="L41" s="759"/>
      <c r="M41" s="751"/>
      <c r="N41" s="1087">
        <v>13920468.115313809</v>
      </c>
      <c r="O41" s="751"/>
      <c r="P41" s="759"/>
      <c r="Q41" s="751"/>
      <c r="R41" s="1087"/>
      <c r="S41" s="751"/>
    </row>
    <row r="42" spans="1:19">
      <c r="A42" s="772">
        <f t="shared" si="6"/>
        <v>2.2599999999999945</v>
      </c>
      <c r="B42" s="1029" t="s">
        <v>926</v>
      </c>
      <c r="C42" s="1029">
        <f>-E42</f>
        <v>-13920468.115313809</v>
      </c>
      <c r="D42" s="1029">
        <f>-F42</f>
        <v>0</v>
      </c>
      <c r="E42" s="1030">
        <f>C41</f>
        <v>13920468.115313809</v>
      </c>
      <c r="F42" s="1030">
        <f>D41</f>
        <v>0</v>
      </c>
      <c r="G42" s="1031">
        <f t="shared" si="15"/>
        <v>0</v>
      </c>
      <c r="H42" s="1031"/>
      <c r="I42" s="1031"/>
      <c r="J42" s="1031"/>
      <c r="K42" s="1031"/>
      <c r="L42" s="759"/>
      <c r="M42" s="751"/>
      <c r="N42" s="751"/>
      <c r="O42" s="751"/>
      <c r="P42" s="759"/>
      <c r="Q42" s="751"/>
      <c r="R42" s="751"/>
      <c r="S42" s="751"/>
    </row>
    <row r="43" spans="1:19">
      <c r="A43" s="772">
        <f t="shared" si="6"/>
        <v>2.2699999999999942</v>
      </c>
      <c r="B43" s="751" t="s">
        <v>852</v>
      </c>
      <c r="C43" s="751">
        <f t="shared" ref="C43:D49" si="17">-E43</f>
        <v>-0.01</v>
      </c>
      <c r="D43" s="751">
        <f t="shared" si="17"/>
        <v>-0.01</v>
      </c>
      <c r="E43" s="759">
        <v>0.01</v>
      </c>
      <c r="F43" s="759">
        <v>0.01</v>
      </c>
      <c r="G43" s="759">
        <f t="shared" ref="G43:G49" si="18">ROUND(SUM(C43:F43)/2,0)</f>
        <v>0</v>
      </c>
      <c r="H43" s="759"/>
      <c r="I43" s="759"/>
      <c r="J43" s="759"/>
      <c r="K43" s="759"/>
      <c r="L43" s="759"/>
      <c r="M43" s="759"/>
      <c r="N43" s="759"/>
      <c r="O43" s="759"/>
      <c r="P43" s="759"/>
      <c r="Q43" s="759"/>
      <c r="R43" s="759"/>
      <c r="S43" s="759"/>
    </row>
    <row r="44" spans="1:19">
      <c r="A44" s="772">
        <f t="shared" si="6"/>
        <v>2.279999999999994</v>
      </c>
      <c r="B44" s="751" t="s">
        <v>853</v>
      </c>
      <c r="C44" s="751">
        <f t="shared" si="17"/>
        <v>2733400.69</v>
      </c>
      <c r="D44" s="751">
        <f t="shared" si="17"/>
        <v>2924239.24</v>
      </c>
      <c r="E44" s="759">
        <v>-2733400.69</v>
      </c>
      <c r="F44" s="759">
        <v>-2924239.24</v>
      </c>
      <c r="G44" s="759">
        <f t="shared" si="18"/>
        <v>0</v>
      </c>
      <c r="H44" s="759"/>
      <c r="I44" s="759"/>
      <c r="J44" s="759"/>
      <c r="K44" s="759"/>
      <c r="L44" s="759"/>
      <c r="M44" s="759"/>
      <c r="N44" s="759"/>
      <c r="O44" s="759"/>
      <c r="P44" s="759"/>
      <c r="Q44" s="759"/>
      <c r="R44" s="759"/>
      <c r="S44" s="759"/>
    </row>
    <row r="45" spans="1:19">
      <c r="A45" s="772">
        <f t="shared" si="6"/>
        <v>2.2899999999999938</v>
      </c>
      <c r="B45" s="751" t="s">
        <v>854</v>
      </c>
      <c r="C45" s="751">
        <f t="shared" si="17"/>
        <v>33295034.280000001</v>
      </c>
      <c r="D45" s="751">
        <f t="shared" si="17"/>
        <v>-44243089.149999999</v>
      </c>
      <c r="E45" s="759">
        <v>-33295034.280000001</v>
      </c>
      <c r="F45" s="759">
        <v>44243089.149999999</v>
      </c>
      <c r="G45" s="759">
        <f t="shared" si="18"/>
        <v>0</v>
      </c>
      <c r="H45" s="759"/>
      <c r="I45" s="759"/>
      <c r="J45" s="759"/>
      <c r="K45" s="759"/>
      <c r="L45" s="759"/>
      <c r="M45" s="759"/>
      <c r="N45" s="759"/>
      <c r="O45" s="759"/>
      <c r="P45" s="759"/>
      <c r="Q45" s="759"/>
      <c r="R45" s="759"/>
      <c r="S45" s="759"/>
    </row>
    <row r="46" spans="1:19">
      <c r="A46" s="772">
        <f t="shared" si="6"/>
        <v>2.2999999999999936</v>
      </c>
      <c r="B46" s="751" t="s">
        <v>1076</v>
      </c>
      <c r="C46" s="751">
        <f t="shared" si="17"/>
        <v>0</v>
      </c>
      <c r="D46" s="751">
        <f t="shared" si="17"/>
        <v>7016145.3099999996</v>
      </c>
      <c r="E46" s="759">
        <v>0</v>
      </c>
      <c r="F46" s="759">
        <v>-7016145.3099999996</v>
      </c>
      <c r="G46" s="759">
        <f t="shared" si="18"/>
        <v>0</v>
      </c>
      <c r="H46" s="759"/>
      <c r="I46" s="759"/>
      <c r="J46" s="759"/>
      <c r="K46" s="759"/>
      <c r="L46" s="759"/>
      <c r="M46" s="759"/>
      <c r="N46" s="759"/>
      <c r="O46" s="759"/>
      <c r="P46" s="759"/>
      <c r="Q46" s="759"/>
      <c r="R46" s="759"/>
      <c r="S46" s="759"/>
    </row>
    <row r="47" spans="1:19">
      <c r="A47" s="772">
        <f t="shared" si="6"/>
        <v>2.3099999999999934</v>
      </c>
      <c r="B47" s="751" t="s">
        <v>855</v>
      </c>
      <c r="C47" s="751">
        <f t="shared" si="17"/>
        <v>0</v>
      </c>
      <c r="D47" s="751">
        <f t="shared" si="17"/>
        <v>0</v>
      </c>
      <c r="E47" s="759">
        <v>0</v>
      </c>
      <c r="F47" s="759">
        <v>0</v>
      </c>
      <c r="G47" s="759">
        <f t="shared" si="18"/>
        <v>0</v>
      </c>
      <c r="H47" s="759"/>
      <c r="I47" s="759"/>
      <c r="J47" s="759"/>
      <c r="K47" s="759"/>
      <c r="L47" s="759"/>
      <c r="M47" s="759"/>
      <c r="N47" s="759"/>
      <c r="O47" s="759"/>
      <c r="P47" s="759"/>
      <c r="Q47" s="759"/>
      <c r="R47" s="759"/>
      <c r="S47" s="759"/>
    </row>
    <row r="48" spans="1:19">
      <c r="A48" s="772">
        <f t="shared" si="6"/>
        <v>2.3199999999999932</v>
      </c>
      <c r="B48" s="751" t="s">
        <v>1012</v>
      </c>
      <c r="C48" s="751">
        <f t="shared" ref="C48" si="19">-E48</f>
        <v>2316103.81</v>
      </c>
      <c r="D48" s="751">
        <f t="shared" ref="D48" si="20">-F48</f>
        <v>848713.78</v>
      </c>
      <c r="E48" s="759">
        <v>-2316103.81</v>
      </c>
      <c r="F48" s="759">
        <v>-848713.78</v>
      </c>
      <c r="G48" s="759">
        <f t="shared" ref="G48" si="21">ROUND(SUM(C48:F48)/2,0)</f>
        <v>0</v>
      </c>
      <c r="H48" s="759"/>
      <c r="I48" s="759"/>
      <c r="J48" s="759"/>
      <c r="K48" s="759"/>
      <c r="L48" s="759"/>
      <c r="M48" s="759"/>
      <c r="N48" s="759"/>
      <c r="O48" s="759"/>
      <c r="P48" s="759"/>
      <c r="Q48" s="759"/>
      <c r="R48" s="759"/>
      <c r="S48" s="759"/>
    </row>
    <row r="49" spans="1:256">
      <c r="A49" s="772">
        <f t="shared" si="6"/>
        <v>2.329999999999993</v>
      </c>
      <c r="B49" s="751" t="s">
        <v>856</v>
      </c>
      <c r="C49" s="751">
        <f t="shared" si="17"/>
        <v>0</v>
      </c>
      <c r="D49" s="751">
        <f t="shared" si="17"/>
        <v>0</v>
      </c>
      <c r="E49" s="759">
        <v>0</v>
      </c>
      <c r="F49" s="759">
        <v>0</v>
      </c>
      <c r="G49" s="759">
        <f t="shared" si="18"/>
        <v>0</v>
      </c>
      <c r="H49" s="759"/>
      <c r="I49" s="759"/>
      <c r="J49" s="759"/>
      <c r="K49" s="759"/>
      <c r="L49" s="759"/>
      <c r="M49" s="759"/>
      <c r="N49" s="759"/>
      <c r="O49" s="759"/>
      <c r="P49" s="759"/>
      <c r="Q49" s="759"/>
      <c r="R49" s="759"/>
      <c r="S49" s="759"/>
    </row>
    <row r="50" spans="1:256">
      <c r="A50" s="767"/>
      <c r="B50" s="759"/>
      <c r="C50" s="759"/>
      <c r="D50" s="759"/>
      <c r="E50" s="759"/>
      <c r="F50" s="759"/>
      <c r="G50" s="759"/>
      <c r="H50" s="759"/>
      <c r="I50" s="759"/>
      <c r="J50" s="759"/>
      <c r="K50" s="759"/>
      <c r="L50" s="759"/>
      <c r="M50" s="759"/>
      <c r="N50" s="759"/>
      <c r="O50" s="759"/>
      <c r="P50" s="759"/>
      <c r="Q50" s="759"/>
      <c r="R50" s="759"/>
      <c r="S50" s="759"/>
    </row>
    <row r="51" spans="1:256" ht="13.5" thickBot="1">
      <c r="A51" s="750">
        <v>3</v>
      </c>
      <c r="B51" s="759" t="s">
        <v>689</v>
      </c>
      <c r="C51" s="768">
        <f>SUM(C17:C50)</f>
        <v>50427851.300000012</v>
      </c>
      <c r="D51" s="768">
        <f>SUM(D17:D50)</f>
        <v>52142151.789999969</v>
      </c>
      <c r="E51" s="768">
        <f>SUM(E17:E50)</f>
        <v>-24424070.65468619</v>
      </c>
      <c r="F51" s="768">
        <f>SUM(F17:F50)</f>
        <v>33453990.829999998</v>
      </c>
      <c r="G51" s="768">
        <f>SUM(G17:G50)</f>
        <v>55799963</v>
      </c>
      <c r="H51" s="759"/>
      <c r="I51" s="768">
        <f>SUM(I17:I50)</f>
        <v>0</v>
      </c>
      <c r="J51" s="768">
        <f>SUM(J17:J50)</f>
        <v>55799961.632656917</v>
      </c>
      <c r="K51" s="768">
        <f>SUM(K17:K50)</f>
        <v>0</v>
      </c>
      <c r="L51" s="759"/>
      <c r="M51" s="768">
        <f>SUM(M17:M50)</f>
        <v>0</v>
      </c>
      <c r="N51" s="768">
        <f>SUM(N17:N50)</f>
        <v>26003780.645313814</v>
      </c>
      <c r="O51" s="768">
        <f>SUM(O17:O50)</f>
        <v>0</v>
      </c>
      <c r="P51" s="759"/>
      <c r="Q51" s="768">
        <f>SUM(Q17:Q50)</f>
        <v>0</v>
      </c>
      <c r="R51" s="768">
        <f>SUM(R17:R50)</f>
        <v>85596142.619999975</v>
      </c>
      <c r="S51" s="768">
        <f>SUM(S17:S50)</f>
        <v>0</v>
      </c>
    </row>
    <row r="52" spans="1:256" ht="13.5" thickTop="1">
      <c r="A52" s="750">
        <v>4</v>
      </c>
      <c r="B52" s="753" t="s">
        <v>690</v>
      </c>
      <c r="C52" s="759">
        <v>0</v>
      </c>
      <c r="D52" s="759">
        <v>0</v>
      </c>
      <c r="E52" s="759">
        <v>0</v>
      </c>
      <c r="F52" s="759">
        <v>0</v>
      </c>
      <c r="G52" s="759">
        <v>0</v>
      </c>
      <c r="I52" s="759">
        <v>0</v>
      </c>
      <c r="J52" s="759">
        <v>0</v>
      </c>
      <c r="K52" s="759">
        <v>0</v>
      </c>
      <c r="M52" s="759">
        <v>0</v>
      </c>
      <c r="N52" s="759">
        <v>0</v>
      </c>
      <c r="O52" s="759">
        <v>0</v>
      </c>
      <c r="Q52" s="759">
        <v>0</v>
      </c>
      <c r="R52" s="759">
        <v>0</v>
      </c>
      <c r="S52" s="759">
        <v>0</v>
      </c>
      <c r="IV52" s="759"/>
    </row>
    <row r="53" spans="1:256">
      <c r="I53" s="759"/>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92"/>
  <sheetViews>
    <sheetView tabSelected="1" workbookViewId="0">
      <selection activeCell="O54" sqref="O54"/>
    </sheetView>
  </sheetViews>
  <sheetFormatPr defaultColWidth="10" defaultRowHeight="12"/>
  <cols>
    <col min="1" max="1" width="9.42578125" style="983" customWidth="1"/>
    <col min="2" max="2" width="20.85546875" style="984" customWidth="1"/>
    <col min="3" max="3" width="35.5703125" style="983" customWidth="1"/>
    <col min="4" max="4" width="12.85546875" style="983" customWidth="1"/>
    <col min="5" max="5" width="10.42578125" style="983" customWidth="1"/>
    <col min="6" max="6" width="16.42578125" style="983" customWidth="1"/>
    <col min="7" max="7" width="12" style="983" customWidth="1"/>
    <col min="8" max="8" width="14.28515625" style="983" bestFit="1" customWidth="1"/>
    <col min="9" max="9" width="18.85546875" style="983" customWidth="1"/>
    <col min="10" max="10" width="15.5703125" style="983" customWidth="1"/>
    <col min="11" max="11" width="16.140625" style="983" customWidth="1"/>
    <col min="12" max="13" width="15" style="983" customWidth="1"/>
    <col min="14" max="14" width="13.5703125" style="983" customWidth="1"/>
    <col min="15" max="15" width="15" style="983" customWidth="1"/>
    <col min="16" max="17" width="17.5703125" style="983" customWidth="1"/>
    <col min="18" max="18" width="33" style="983" customWidth="1"/>
    <col min="19" max="19" width="15" style="983" customWidth="1"/>
    <col min="20" max="21" width="14.5703125" style="983" bestFit="1" customWidth="1"/>
    <col min="22" max="22" width="10.5703125" style="983" bestFit="1" customWidth="1"/>
    <col min="23" max="16384" width="10" style="983"/>
  </cols>
  <sheetData>
    <row r="1" spans="1:23" ht="12.75">
      <c r="A1" s="983" t="s">
        <v>862</v>
      </c>
      <c r="R1" s="985"/>
    </row>
    <row r="2" spans="1:23" ht="12.75">
      <c r="A2" s="1075" t="s">
        <v>940</v>
      </c>
      <c r="R2" s="985"/>
      <c r="V2" s="986"/>
    </row>
    <row r="3" spans="1:23" ht="12.75">
      <c r="A3" s="1075" t="s">
        <v>978</v>
      </c>
      <c r="R3" s="985"/>
      <c r="V3" s="987"/>
    </row>
    <row r="4" spans="1:23">
      <c r="A4" s="1075" t="s">
        <v>974</v>
      </c>
      <c r="G4" s="988"/>
    </row>
    <row r="5" spans="1:23">
      <c r="A5" s="1075" t="s">
        <v>863</v>
      </c>
      <c r="I5" s="989"/>
      <c r="J5" s="989"/>
      <c r="P5" s="989"/>
      <c r="Q5" s="989"/>
    </row>
    <row r="6" spans="1:23">
      <c r="J6" s="989"/>
      <c r="K6" s="990"/>
      <c r="L6" s="984"/>
      <c r="M6" s="984"/>
      <c r="N6" s="984"/>
      <c r="O6" s="984"/>
      <c r="P6" s="984"/>
      <c r="Q6" s="984"/>
    </row>
    <row r="7" spans="1:23">
      <c r="B7" s="991"/>
      <c r="C7" s="991"/>
      <c r="D7" s="991"/>
      <c r="E7" s="991"/>
      <c r="F7" s="991"/>
      <c r="G7" s="991"/>
      <c r="H7" s="991"/>
      <c r="I7" s="991"/>
      <c r="J7" s="991"/>
      <c r="K7" s="991"/>
      <c r="L7" s="991"/>
      <c r="M7" s="991"/>
      <c r="N7" s="991"/>
      <c r="O7" s="991"/>
      <c r="P7" s="991"/>
      <c r="Q7" s="984"/>
    </row>
    <row r="8" spans="1:23">
      <c r="A8" s="984" t="s">
        <v>446</v>
      </c>
      <c r="B8" s="984" t="s">
        <v>447</v>
      </c>
      <c r="C8" s="984" t="s">
        <v>448</v>
      </c>
      <c r="D8" s="984" t="s">
        <v>449</v>
      </c>
      <c r="E8" s="984" t="s">
        <v>450</v>
      </c>
      <c r="F8" s="984" t="s">
        <v>451</v>
      </c>
      <c r="G8" s="984" t="s">
        <v>452</v>
      </c>
      <c r="H8" s="984" t="s">
        <v>453</v>
      </c>
      <c r="I8" s="984" t="s">
        <v>864</v>
      </c>
      <c r="J8" s="984" t="s">
        <v>865</v>
      </c>
      <c r="K8" s="984" t="s">
        <v>456</v>
      </c>
      <c r="L8" s="984" t="s">
        <v>457</v>
      </c>
      <c r="M8" s="984" t="s">
        <v>458</v>
      </c>
      <c r="N8" s="984" t="s">
        <v>31</v>
      </c>
      <c r="O8" s="984" t="s">
        <v>107</v>
      </c>
      <c r="P8" s="984" t="s">
        <v>152</v>
      </c>
      <c r="Q8" s="984" t="s">
        <v>153</v>
      </c>
      <c r="R8" s="984" t="s">
        <v>154</v>
      </c>
    </row>
    <row r="9" spans="1:23" ht="14.45" customHeight="1">
      <c r="B9"/>
      <c r="C9"/>
      <c r="D9"/>
      <c r="E9"/>
      <c r="I9" s="1176" t="s">
        <v>1079</v>
      </c>
      <c r="J9" s="1176"/>
      <c r="K9" s="1177" t="s">
        <v>866</v>
      </c>
      <c r="L9" s="1177"/>
      <c r="M9" s="1177"/>
      <c r="N9" s="1178" t="s">
        <v>867</v>
      </c>
      <c r="O9" s="1178"/>
      <c r="P9" s="1176" t="s">
        <v>1080</v>
      </c>
      <c r="Q9" s="1176"/>
    </row>
    <row r="10" spans="1:23" ht="69.95" customHeight="1">
      <c r="A10" s="1076" t="s">
        <v>868</v>
      </c>
      <c r="B10" s="1077" t="s">
        <v>979</v>
      </c>
      <c r="C10" s="1078" t="s">
        <v>869</v>
      </c>
      <c r="D10" s="1077" t="s">
        <v>870</v>
      </c>
      <c r="E10" s="1077" t="s">
        <v>871</v>
      </c>
      <c r="F10" s="1077" t="s">
        <v>980</v>
      </c>
      <c r="G10" s="1077" t="s">
        <v>872</v>
      </c>
      <c r="H10" s="1077" t="s">
        <v>873</v>
      </c>
      <c r="I10" s="1079" t="s">
        <v>981</v>
      </c>
      <c r="J10" s="1079" t="s">
        <v>982</v>
      </c>
      <c r="K10" s="1077" t="s">
        <v>874</v>
      </c>
      <c r="L10" s="1077">
        <v>182.3</v>
      </c>
      <c r="M10" s="1077">
        <v>254</v>
      </c>
      <c r="N10" s="1077" t="s">
        <v>983</v>
      </c>
      <c r="O10" s="1077" t="s">
        <v>875</v>
      </c>
      <c r="P10" s="1079" t="s">
        <v>984</v>
      </c>
      <c r="Q10" s="1079" t="s">
        <v>985</v>
      </c>
      <c r="R10" s="992" t="s">
        <v>876</v>
      </c>
    </row>
    <row r="11" spans="1:23">
      <c r="B11" s="983"/>
      <c r="D11" s="993"/>
      <c r="E11" s="993"/>
      <c r="F11" s="993"/>
      <c r="G11" s="993"/>
      <c r="H11" s="993"/>
      <c r="I11" s="993"/>
      <c r="J11" s="993"/>
      <c r="K11" s="993"/>
      <c r="L11" s="993"/>
      <c r="M11" s="993"/>
      <c r="N11" s="993"/>
      <c r="O11" s="993"/>
      <c r="P11" s="1179" t="s">
        <v>877</v>
      </c>
      <c r="Q11" s="1179"/>
      <c r="R11" s="992"/>
    </row>
    <row r="12" spans="1:23">
      <c r="B12" s="994" t="s">
        <v>878</v>
      </c>
      <c r="C12" s="995"/>
      <c r="D12" s="995"/>
      <c r="E12" s="995"/>
      <c r="F12" s="995"/>
      <c r="G12" s="995"/>
      <c r="H12" s="995"/>
      <c r="I12" s="995"/>
      <c r="J12" s="995"/>
      <c r="K12" s="995"/>
      <c r="L12" s="995"/>
      <c r="M12" s="995"/>
      <c r="N12" s="995"/>
      <c r="O12" s="995"/>
      <c r="P12" s="995"/>
      <c r="Q12" s="995"/>
      <c r="R12" s="987"/>
      <c r="S12" s="987"/>
      <c r="T12" s="987"/>
      <c r="U12" s="987"/>
      <c r="V12" s="987"/>
      <c r="W12" s="987"/>
    </row>
    <row r="13" spans="1:23">
      <c r="A13" s="983" t="s">
        <v>879</v>
      </c>
      <c r="B13" s="996" t="s">
        <v>880</v>
      </c>
      <c r="C13" s="983" t="s">
        <v>1090</v>
      </c>
      <c r="D13" s="983" t="s">
        <v>882</v>
      </c>
      <c r="E13" s="983" t="s">
        <v>883</v>
      </c>
      <c r="F13" s="984"/>
      <c r="I13" s="1130">
        <v>33295034.132400703</v>
      </c>
      <c r="J13" s="998" t="s">
        <v>414</v>
      </c>
      <c r="K13" s="997"/>
      <c r="L13" s="997"/>
      <c r="M13" s="997">
        <v>-5190050.43</v>
      </c>
      <c r="N13" s="997"/>
      <c r="O13" s="997"/>
      <c r="P13" s="999">
        <f>SUM(I13:O13)</f>
        <v>28104983.702400703</v>
      </c>
      <c r="Q13" s="1000" t="s">
        <v>414</v>
      </c>
      <c r="R13" s="1001" t="s">
        <v>931</v>
      </c>
      <c r="S13" s="987"/>
      <c r="T13" s="987"/>
      <c r="U13" s="987"/>
      <c r="V13" s="987"/>
      <c r="W13" s="987"/>
    </row>
    <row r="14" spans="1:23">
      <c r="A14" s="983" t="s">
        <v>884</v>
      </c>
      <c r="B14" s="996" t="s">
        <v>885</v>
      </c>
      <c r="C14" s="983" t="s">
        <v>886</v>
      </c>
      <c r="D14" s="983" t="s">
        <v>887</v>
      </c>
      <c r="E14" s="983" t="s">
        <v>883</v>
      </c>
      <c r="F14" s="1002">
        <v>-106249253</v>
      </c>
      <c r="G14" s="1003" t="s">
        <v>888</v>
      </c>
      <c r="H14" s="1003" t="s">
        <v>889</v>
      </c>
      <c r="I14" s="983" t="s">
        <v>414</v>
      </c>
      <c r="J14" s="1130">
        <v>-103930163.49739997</v>
      </c>
      <c r="K14" s="997"/>
      <c r="L14" s="997"/>
      <c r="M14" s="997"/>
      <c r="N14" s="997">
        <v>-2321728.9799017762</v>
      </c>
      <c r="O14" s="997"/>
      <c r="P14" s="1004" t="s">
        <v>414</v>
      </c>
      <c r="Q14" s="1005">
        <f>SUM(J14:O14)</f>
        <v>-106251892.47730175</v>
      </c>
      <c r="R14" s="1001" t="s">
        <v>921</v>
      </c>
      <c r="S14" s="987"/>
      <c r="T14" s="987"/>
      <c r="U14" s="987"/>
      <c r="V14" s="987"/>
      <c r="W14" s="987"/>
    </row>
    <row r="15" spans="1:23">
      <c r="A15" s="983" t="s">
        <v>890</v>
      </c>
      <c r="B15" s="996" t="s">
        <v>885</v>
      </c>
      <c r="C15" s="983" t="s">
        <v>886</v>
      </c>
      <c r="D15" s="983" t="s">
        <v>891</v>
      </c>
      <c r="E15" s="983" t="s">
        <v>883</v>
      </c>
      <c r="F15" s="1006">
        <v>2532427</v>
      </c>
      <c r="G15" s="1003" t="s">
        <v>892</v>
      </c>
      <c r="H15" s="1003" t="s">
        <v>893</v>
      </c>
      <c r="J15" s="1130">
        <v>785427.92577941483</v>
      </c>
      <c r="K15" s="997"/>
      <c r="L15" s="997"/>
      <c r="M15" s="997"/>
      <c r="N15" s="997">
        <v>-261809.35807352842</v>
      </c>
      <c r="O15" s="997"/>
      <c r="P15" s="1004"/>
      <c r="Q15" s="1005">
        <f>SUM(J15:O15)</f>
        <v>523618.56770588644</v>
      </c>
      <c r="R15" s="1026" t="s">
        <v>922</v>
      </c>
      <c r="S15" s="987"/>
      <c r="T15" s="987"/>
      <c r="U15" s="987"/>
      <c r="V15" s="987"/>
      <c r="W15" s="987"/>
    </row>
    <row r="16" spans="1:23">
      <c r="A16" s="983" t="s">
        <v>894</v>
      </c>
      <c r="B16" s="996" t="s">
        <v>895</v>
      </c>
      <c r="C16" s="983" t="s">
        <v>896</v>
      </c>
      <c r="D16" s="983" t="s">
        <v>887</v>
      </c>
      <c r="E16" s="983" t="s">
        <v>883</v>
      </c>
      <c r="F16" s="1006"/>
      <c r="G16" s="1003"/>
      <c r="H16" s="1003"/>
      <c r="I16" s="1130">
        <v>103930163.55739997</v>
      </c>
      <c r="J16" s="998"/>
      <c r="K16" s="997"/>
      <c r="L16" s="997"/>
      <c r="M16" s="997">
        <v>2321728.9799017757</v>
      </c>
      <c r="N16" s="997"/>
      <c r="O16" s="997"/>
      <c r="P16" s="999">
        <f>SUM(I16:O16)</f>
        <v>106251892.53730175</v>
      </c>
      <c r="Q16" s="998"/>
      <c r="R16" s="1180" t="s">
        <v>932</v>
      </c>
      <c r="S16" s="987"/>
      <c r="T16" s="987"/>
      <c r="U16" s="987"/>
      <c r="V16" s="987"/>
      <c r="W16" s="987"/>
    </row>
    <row r="17" spans="1:23">
      <c r="A17" s="983" t="s">
        <v>897</v>
      </c>
      <c r="B17" s="996" t="s">
        <v>895</v>
      </c>
      <c r="C17" s="983" t="s">
        <v>896</v>
      </c>
      <c r="D17" s="983" t="s">
        <v>891</v>
      </c>
      <c r="E17" s="983" t="s">
        <v>883</v>
      </c>
      <c r="F17" s="1006"/>
      <c r="G17" s="1003"/>
      <c r="H17" s="1003"/>
      <c r="I17" s="1130">
        <v>-785427.92577941483</v>
      </c>
      <c r="J17" s="998"/>
      <c r="K17" s="997"/>
      <c r="L17" s="997"/>
      <c r="M17" s="997">
        <v>261809.35807352842</v>
      </c>
      <c r="N17" s="997"/>
      <c r="O17" s="997"/>
      <c r="P17" s="999">
        <f>SUM(I17:O17)</f>
        <v>-523618.56770588644</v>
      </c>
      <c r="Q17" s="998"/>
      <c r="R17" s="1180"/>
      <c r="S17" s="987"/>
      <c r="T17" s="987"/>
      <c r="U17" s="987"/>
      <c r="V17" s="987"/>
      <c r="W17" s="987"/>
    </row>
    <row r="18" spans="1:23">
      <c r="A18" s="983" t="s">
        <v>898</v>
      </c>
      <c r="B18" s="996" t="s">
        <v>899</v>
      </c>
      <c r="C18" s="983" t="s">
        <v>900</v>
      </c>
      <c r="D18" s="983" t="s">
        <v>891</v>
      </c>
      <c r="E18" s="983" t="s">
        <v>883</v>
      </c>
      <c r="F18" s="1006">
        <v>3966093</v>
      </c>
      <c r="G18" s="1003" t="s">
        <v>892</v>
      </c>
      <c r="H18" s="1003" t="s">
        <v>893</v>
      </c>
      <c r="I18" s="983" t="s">
        <v>414</v>
      </c>
      <c r="J18" s="1130">
        <v>2940658.8887878256</v>
      </c>
      <c r="K18" s="997"/>
      <c r="L18" s="997"/>
      <c r="M18" s="997"/>
      <c r="N18" s="997">
        <v>-2940658.7037373912</v>
      </c>
      <c r="O18" s="997"/>
      <c r="P18" s="1004" t="s">
        <v>414</v>
      </c>
      <c r="Q18" s="1005">
        <f>SUM(J18:O18)</f>
        <v>0.18505043443292379</v>
      </c>
      <c r="R18" s="1001" t="s">
        <v>920</v>
      </c>
      <c r="S18" s="987"/>
      <c r="T18" s="987"/>
      <c r="U18" s="987"/>
      <c r="V18" s="987"/>
      <c r="W18" s="987"/>
    </row>
    <row r="19" spans="1:23">
      <c r="A19" s="983" t="s">
        <v>901</v>
      </c>
      <c r="B19" s="996" t="s">
        <v>902</v>
      </c>
      <c r="C19" s="983" t="s">
        <v>903</v>
      </c>
      <c r="D19" s="983" t="s">
        <v>891</v>
      </c>
      <c r="E19" s="983" t="s">
        <v>883</v>
      </c>
      <c r="F19" s="1002"/>
      <c r="G19" s="1003"/>
      <c r="H19" s="1003"/>
      <c r="I19" s="1130">
        <v>-2940658.3887878256</v>
      </c>
      <c r="J19" s="998"/>
      <c r="K19" s="997"/>
      <c r="L19" s="997"/>
      <c r="M19" s="997">
        <v>2940658.7037373912</v>
      </c>
      <c r="N19" s="997"/>
      <c r="O19" s="997"/>
      <c r="P19" s="999">
        <f>SUM(I19:O19)</f>
        <v>0.31494956556707621</v>
      </c>
      <c r="Q19" s="1004"/>
      <c r="R19" s="1001" t="s">
        <v>933</v>
      </c>
      <c r="S19" s="987"/>
      <c r="T19" s="987"/>
      <c r="U19" s="987"/>
      <c r="V19" s="987"/>
      <c r="W19" s="987"/>
    </row>
    <row r="20" spans="1:23">
      <c r="A20" s="983" t="s">
        <v>904</v>
      </c>
      <c r="B20" s="996" t="s">
        <v>959</v>
      </c>
      <c r="C20" s="983" t="s">
        <v>1083</v>
      </c>
      <c r="D20" s="983" t="s">
        <v>1087</v>
      </c>
      <c r="E20" s="983" t="s">
        <v>883</v>
      </c>
      <c r="F20" s="1002"/>
      <c r="G20" s="1003"/>
      <c r="H20" s="1003"/>
      <c r="I20" s="1131"/>
      <c r="J20" s="1130"/>
      <c r="K20" s="1130"/>
      <c r="L20" s="1130"/>
      <c r="M20" s="1130"/>
      <c r="N20" s="1130">
        <v>72348073</v>
      </c>
      <c r="O20" s="1130"/>
      <c r="P20" s="1132"/>
      <c r="Q20" s="1133">
        <f>SUM(J20:O20)</f>
        <v>72348073</v>
      </c>
      <c r="R20" s="1001"/>
      <c r="S20" s="987"/>
      <c r="T20" s="987"/>
      <c r="U20" s="987"/>
      <c r="V20" s="987"/>
      <c r="W20" s="987"/>
    </row>
    <row r="21" spans="1:23">
      <c r="A21" s="983" t="s">
        <v>1092</v>
      </c>
      <c r="B21" s="996" t="s">
        <v>1084</v>
      </c>
      <c r="C21" s="983" t="s">
        <v>881</v>
      </c>
      <c r="D21" s="983" t="s">
        <v>1087</v>
      </c>
      <c r="E21" s="983" t="s">
        <v>883</v>
      </c>
      <c r="F21" s="1002"/>
      <c r="G21" s="1003"/>
      <c r="H21" s="1003"/>
      <c r="I21" s="1130"/>
      <c r="J21" s="1131"/>
      <c r="K21" s="1130"/>
      <c r="L21" s="1130">
        <v>-72348073</v>
      </c>
      <c r="M21" s="1130"/>
      <c r="N21" s="1130"/>
      <c r="O21" s="1130"/>
      <c r="P21" s="1133">
        <f t="shared" ref="P21:P24" si="0">SUM(I21:O21)</f>
        <v>-72348073</v>
      </c>
      <c r="Q21" s="1132"/>
      <c r="R21" s="1001"/>
      <c r="S21" s="987"/>
      <c r="T21" s="987"/>
      <c r="U21" s="987"/>
      <c r="V21" s="987"/>
      <c r="W21" s="987"/>
    </row>
    <row r="22" spans="1:23">
      <c r="A22" s="983" t="s">
        <v>1093</v>
      </c>
      <c r="B22" s="996" t="s">
        <v>1085</v>
      </c>
      <c r="C22" s="983" t="s">
        <v>1086</v>
      </c>
      <c r="D22" s="983" t="s">
        <v>1087</v>
      </c>
      <c r="E22" s="983" t="s">
        <v>1088</v>
      </c>
      <c r="F22" s="1002"/>
      <c r="G22" s="1003"/>
      <c r="H22" s="1003"/>
      <c r="I22" s="1130"/>
      <c r="J22" s="1131"/>
      <c r="K22" s="1130"/>
      <c r="L22" s="1130"/>
      <c r="M22" s="1130">
        <v>7016145.3099999996</v>
      </c>
      <c r="N22" s="1130"/>
      <c r="O22" s="1130"/>
      <c r="P22" s="1133">
        <f t="shared" si="0"/>
        <v>7016145.3099999996</v>
      </c>
      <c r="Q22" s="1132"/>
      <c r="R22" s="1001"/>
      <c r="S22" s="987"/>
      <c r="T22" s="987"/>
      <c r="U22" s="987"/>
      <c r="V22" s="987"/>
      <c r="W22" s="987"/>
    </row>
    <row r="23" spans="1:23">
      <c r="A23" s="983" t="s">
        <v>1094</v>
      </c>
      <c r="B23" s="996" t="s">
        <v>1089</v>
      </c>
      <c r="C23" s="983" t="s">
        <v>1090</v>
      </c>
      <c r="D23" s="983" t="s">
        <v>1087</v>
      </c>
      <c r="E23" s="983" t="s">
        <v>883</v>
      </c>
      <c r="F23" s="1002"/>
      <c r="G23" s="1003"/>
      <c r="H23" s="1003"/>
      <c r="I23" s="1130"/>
      <c r="J23" s="1131"/>
      <c r="K23" s="1130"/>
      <c r="L23" s="1130">
        <v>-19231766.240506321</v>
      </c>
      <c r="M23" s="1130"/>
      <c r="N23" s="1130"/>
      <c r="O23" s="1130"/>
      <c r="P23" s="1133">
        <f t="shared" si="0"/>
        <v>-19231766.240506321</v>
      </c>
      <c r="Q23" s="1132"/>
      <c r="R23" s="1001"/>
      <c r="S23" s="987"/>
      <c r="T23" s="987"/>
      <c r="U23" s="987"/>
      <c r="V23" s="987"/>
      <c r="W23" s="987"/>
    </row>
    <row r="24" spans="1:23">
      <c r="A24" s="983" t="s">
        <v>1095</v>
      </c>
      <c r="B24" s="996" t="s">
        <v>1091</v>
      </c>
      <c r="C24" s="983" t="s">
        <v>1086</v>
      </c>
      <c r="D24" s="983" t="s">
        <v>1087</v>
      </c>
      <c r="E24" s="983" t="s">
        <v>1088</v>
      </c>
      <c r="F24" s="1002"/>
      <c r="G24" s="1003"/>
      <c r="H24" s="1003"/>
      <c r="I24" s="1130"/>
      <c r="J24" s="1131"/>
      <c r="K24" s="1130"/>
      <c r="L24" s="1130">
        <v>-4801030.0077812225</v>
      </c>
      <c r="M24" s="1130"/>
      <c r="N24" s="1130"/>
      <c r="O24" s="1130"/>
      <c r="P24" s="1133">
        <f t="shared" si="0"/>
        <v>-4801030.0077812225</v>
      </c>
      <c r="Q24" s="1132"/>
      <c r="R24" s="1001"/>
      <c r="S24" s="987"/>
      <c r="T24" s="987"/>
      <c r="U24" s="987"/>
      <c r="V24" s="987"/>
      <c r="W24" s="987"/>
    </row>
    <row r="25" spans="1:23">
      <c r="A25" s="983" t="s">
        <v>1096</v>
      </c>
      <c r="B25" s="1003" t="s">
        <v>905</v>
      </c>
      <c r="F25" s="1002"/>
      <c r="G25" s="1003"/>
      <c r="H25" s="1003"/>
      <c r="I25" s="1130"/>
      <c r="J25" s="1130"/>
      <c r="K25" s="997"/>
      <c r="L25" s="997"/>
      <c r="M25" s="997"/>
      <c r="N25" s="997"/>
      <c r="O25" s="997"/>
      <c r="P25" s="1000"/>
      <c r="Q25" s="999"/>
      <c r="R25" s="1007"/>
      <c r="S25" s="987"/>
      <c r="T25" s="987"/>
      <c r="U25" s="987"/>
      <c r="V25" s="987"/>
      <c r="W25" s="987"/>
    </row>
    <row r="26" spans="1:23" ht="12.75">
      <c r="B26"/>
      <c r="C26"/>
      <c r="D26"/>
      <c r="E26"/>
      <c r="F26"/>
      <c r="G26"/>
      <c r="H26"/>
      <c r="I26"/>
      <c r="J26"/>
      <c r="K26"/>
      <c r="L26"/>
      <c r="M26"/>
      <c r="N26"/>
      <c r="O26"/>
      <c r="P26"/>
      <c r="Q26"/>
      <c r="R26"/>
      <c r="S26" s="987"/>
      <c r="T26" s="987"/>
      <c r="U26" s="987"/>
      <c r="V26" s="987"/>
      <c r="W26" s="987"/>
    </row>
    <row r="27" spans="1:23" s="987" customFormat="1">
      <c r="A27" s="983"/>
      <c r="B27" s="994" t="s">
        <v>906</v>
      </c>
    </row>
    <row r="28" spans="1:23" ht="11.45" customHeight="1">
      <c r="A28" s="983" t="s">
        <v>907</v>
      </c>
      <c r="B28" s="984">
        <v>182.3</v>
      </c>
      <c r="C28" s="1008" t="s">
        <v>908</v>
      </c>
      <c r="D28" s="1009" t="s">
        <v>414</v>
      </c>
      <c r="E28" s="983" t="s">
        <v>883</v>
      </c>
      <c r="F28" s="1009"/>
      <c r="G28" s="1009" t="s">
        <v>414</v>
      </c>
      <c r="H28" s="1009"/>
      <c r="I28" s="1130">
        <v>0</v>
      </c>
      <c r="J28" s="1130"/>
      <c r="K28" s="997"/>
      <c r="L28" s="997">
        <v>96380869.248287544</v>
      </c>
      <c r="M28" s="997"/>
      <c r="N28" s="997"/>
      <c r="O28" s="998"/>
      <c r="P28" s="1000">
        <f>SUM(I28:O28)</f>
        <v>96380869.248287544</v>
      </c>
      <c r="Q28" s="1010"/>
      <c r="R28" s="1001" t="s">
        <v>909</v>
      </c>
      <c r="S28" s="987"/>
      <c r="T28" s="987"/>
      <c r="U28" s="987"/>
      <c r="V28" s="987"/>
      <c r="W28" s="987"/>
    </row>
    <row r="29" spans="1:23" ht="11.45" customHeight="1">
      <c r="A29" s="983" t="s">
        <v>910</v>
      </c>
      <c r="B29" s="984">
        <v>254</v>
      </c>
      <c r="C29" s="1008" t="s">
        <v>911</v>
      </c>
      <c r="D29" s="1009" t="s">
        <v>414</v>
      </c>
      <c r="E29" s="983" t="s">
        <v>883</v>
      </c>
      <c r="F29" s="1009"/>
      <c r="G29" s="1009" t="s">
        <v>414</v>
      </c>
      <c r="H29" s="1009"/>
      <c r="I29" s="1130">
        <v>-133499109.87523343</v>
      </c>
      <c r="J29" s="1130"/>
      <c r="K29" s="997"/>
      <c r="L29" s="997"/>
      <c r="M29" s="997">
        <v>-334146.61171269557</v>
      </c>
      <c r="N29" s="997"/>
      <c r="O29" s="998"/>
      <c r="P29" s="1000">
        <f>SUM(I29:O29)</f>
        <v>-133833256.48694612</v>
      </c>
      <c r="Q29" s="1010"/>
      <c r="R29" s="1001" t="s">
        <v>909</v>
      </c>
      <c r="S29" s="987"/>
      <c r="T29" s="987"/>
      <c r="U29" s="987"/>
      <c r="V29" s="987"/>
      <c r="W29" s="987"/>
    </row>
    <row r="30" spans="1:23" ht="11.45" customHeight="1">
      <c r="A30" s="983" t="s">
        <v>912</v>
      </c>
      <c r="B30" s="1003" t="s">
        <v>905</v>
      </c>
      <c r="C30" s="1008"/>
      <c r="D30" s="1009"/>
      <c r="F30" s="1009"/>
      <c r="G30" s="1009"/>
      <c r="H30" s="1009"/>
      <c r="I30" s="1130"/>
      <c r="J30" s="1130"/>
      <c r="K30" s="997"/>
      <c r="L30" s="997"/>
      <c r="M30" s="997">
        <v>-7016145.3099999996</v>
      </c>
      <c r="N30" s="997"/>
      <c r="O30" s="1009"/>
      <c r="P30" s="1010"/>
      <c r="Q30" s="1010"/>
      <c r="R30" s="1001"/>
      <c r="S30" s="987"/>
      <c r="T30" s="987"/>
      <c r="U30" s="987"/>
      <c r="V30" s="987"/>
      <c r="W30" s="987"/>
    </row>
    <row r="31" spans="1:23">
      <c r="C31" s="1008"/>
      <c r="D31" s="991"/>
      <c r="E31" s="991"/>
      <c r="F31" s="991"/>
      <c r="G31" s="991"/>
      <c r="H31" s="991"/>
      <c r="I31" s="991"/>
      <c r="J31" s="991"/>
      <c r="K31" s="991"/>
      <c r="L31" s="991"/>
      <c r="M31" s="991"/>
      <c r="N31" s="991"/>
      <c r="O31" s="991"/>
      <c r="P31" s="991"/>
      <c r="Q31" s="991"/>
      <c r="R31" s="1011"/>
      <c r="S31" s="987"/>
      <c r="T31" s="987"/>
      <c r="U31" s="987"/>
      <c r="V31" s="987"/>
      <c r="W31" s="987"/>
    </row>
    <row r="32" spans="1:23" ht="12.75" thickBot="1">
      <c r="A32" s="1012">
        <v>3</v>
      </c>
      <c r="B32" s="1181" t="str">
        <f>"Total For Accounting Entires (Sum of Lines "&amp;A13&amp;" through "&amp;A29&amp;")"</f>
        <v>Total For Accounting Entires (Sum of Lines 1a through 2b)</v>
      </c>
      <c r="C32" s="1181"/>
      <c r="D32" s="1009"/>
      <c r="E32" s="1009"/>
      <c r="F32" s="1009"/>
      <c r="G32" s="1009"/>
      <c r="H32" s="1009"/>
      <c r="I32" s="1013">
        <f>-SUM(I13:I31)</f>
        <v>-1.5000000298023224</v>
      </c>
      <c r="J32" s="1013">
        <f>-SUM(J13:J31)</f>
        <v>100204076.68283273</v>
      </c>
      <c r="K32" s="1014">
        <f>SUM(K13:K31)</f>
        <v>0</v>
      </c>
      <c r="L32" s="1014">
        <f>SUM(L13:L31)</f>
        <v>0</v>
      </c>
      <c r="M32" s="1014">
        <f>SUM(M13:M31)</f>
        <v>0</v>
      </c>
      <c r="N32" s="1013">
        <f>-SUM(N13:N31)</f>
        <v>-66823875.958287306</v>
      </c>
      <c r="O32" s="1013">
        <f>-SUM(O13:O31)</f>
        <v>0</v>
      </c>
      <c r="P32" s="1014">
        <f>SUM(P13:P31)</f>
        <v>7016146.8100000471</v>
      </c>
      <c r="Q32" s="1013">
        <f>SUM(Q13:Q31)</f>
        <v>-33380200.724545434</v>
      </c>
      <c r="R32" s="1015"/>
      <c r="S32" s="987"/>
      <c r="T32" s="987"/>
      <c r="U32" s="987"/>
      <c r="V32" s="987"/>
      <c r="W32" s="987"/>
    </row>
    <row r="33" spans="1:23" ht="12.75" thickTop="1">
      <c r="C33" s="1008"/>
      <c r="D33" s="991"/>
      <c r="E33" s="991"/>
      <c r="F33" s="991"/>
      <c r="G33" s="991"/>
      <c r="H33" s="991"/>
      <c r="I33" s="1016"/>
      <c r="J33" s="1006"/>
      <c r="K33" s="1017"/>
      <c r="L33" s="1017"/>
      <c r="M33" s="1017"/>
      <c r="N33" s="1018" t="s">
        <v>913</v>
      </c>
      <c r="O33" s="1018"/>
      <c r="P33" s="1017"/>
      <c r="Q33" s="1019"/>
      <c r="R33" s="1015"/>
      <c r="S33" s="987"/>
      <c r="T33" s="987"/>
      <c r="U33" s="987"/>
      <c r="V33" s="987"/>
      <c r="W33" s="987"/>
    </row>
    <row r="34" spans="1:23">
      <c r="B34" s="983"/>
      <c r="C34" s="1008"/>
      <c r="D34" s="991"/>
      <c r="E34" s="991"/>
      <c r="F34" s="991"/>
      <c r="G34" s="991"/>
      <c r="H34" s="991"/>
      <c r="I34" s="1016"/>
      <c r="J34" s="1019"/>
      <c r="K34" s="1017"/>
      <c r="L34" s="1017"/>
      <c r="M34" s="1017"/>
      <c r="N34" s="1019"/>
      <c r="O34" s="1019"/>
      <c r="P34" s="1017"/>
      <c r="Q34" s="1019"/>
      <c r="R34" s="1015"/>
      <c r="S34" s="987"/>
      <c r="T34" s="987"/>
      <c r="U34" s="987"/>
      <c r="V34" s="987"/>
      <c r="W34" s="987"/>
    </row>
    <row r="35" spans="1:23" ht="15" customHeight="1">
      <c r="A35" s="1069" t="s">
        <v>914</v>
      </c>
      <c r="B35" s="1175" t="s">
        <v>915</v>
      </c>
      <c r="C35" s="1175"/>
      <c r="D35" s="1175"/>
      <c r="E35" s="1175"/>
      <c r="F35" s="1175"/>
      <c r="G35" s="1175"/>
      <c r="H35" s="1175"/>
      <c r="I35" s="1175"/>
      <c r="J35" s="1175"/>
      <c r="K35" s="1021"/>
      <c r="O35" s="1022"/>
      <c r="P35" s="1022"/>
      <c r="Q35" s="1022"/>
      <c r="R35" s="987"/>
    </row>
    <row r="36" spans="1:23">
      <c r="A36" s="1070"/>
      <c r="B36" s="1175"/>
      <c r="C36" s="1175"/>
      <c r="D36" s="1175"/>
      <c r="E36" s="1175"/>
      <c r="F36" s="1175"/>
      <c r="G36" s="1175"/>
      <c r="H36" s="1175"/>
      <c r="I36" s="1175"/>
      <c r="J36" s="1175"/>
      <c r="K36" s="1021"/>
      <c r="O36" s="1022"/>
      <c r="R36" s="987"/>
    </row>
    <row r="37" spans="1:23">
      <c r="A37" s="1070"/>
      <c r="B37" s="1175"/>
      <c r="C37" s="1175"/>
      <c r="D37" s="1175"/>
      <c r="E37" s="1175"/>
      <c r="F37" s="1175"/>
      <c r="G37" s="1175"/>
      <c r="H37" s="1175"/>
      <c r="I37" s="1175"/>
      <c r="J37" s="1175"/>
      <c r="K37" s="1021"/>
      <c r="R37" s="987"/>
    </row>
    <row r="38" spans="1:23">
      <c r="A38" s="1070"/>
      <c r="B38" s="1175"/>
      <c r="C38" s="1175"/>
      <c r="D38" s="1175"/>
      <c r="E38" s="1175"/>
      <c r="F38" s="1175"/>
      <c r="G38" s="1175"/>
      <c r="H38" s="1175"/>
      <c r="I38" s="1175"/>
      <c r="J38" s="1175"/>
      <c r="K38" s="1021"/>
      <c r="P38" s="1022"/>
      <c r="Q38" s="1022"/>
      <c r="R38" s="987"/>
    </row>
    <row r="39" spans="1:23">
      <c r="A39" s="1070"/>
      <c r="B39" s="1175"/>
      <c r="C39" s="1175"/>
      <c r="D39" s="1175"/>
      <c r="E39" s="1175"/>
      <c r="F39" s="1175"/>
      <c r="G39" s="1175"/>
      <c r="H39" s="1175"/>
      <c r="I39" s="1175"/>
      <c r="J39" s="1175"/>
      <c r="K39" s="1021"/>
      <c r="R39" s="987"/>
    </row>
    <row r="40" spans="1:23">
      <c r="A40" s="1070"/>
      <c r="B40" s="1175"/>
      <c r="C40" s="1175"/>
      <c r="D40" s="1175"/>
      <c r="E40" s="1175"/>
      <c r="F40" s="1175"/>
      <c r="G40" s="1175"/>
      <c r="H40" s="1175"/>
      <c r="I40" s="1175"/>
      <c r="J40" s="1175"/>
      <c r="K40" s="1021"/>
      <c r="R40" s="987"/>
    </row>
    <row r="41" spans="1:23" ht="5.0999999999999996" customHeight="1">
      <c r="A41" s="1070"/>
      <c r="B41" s="1071"/>
      <c r="C41" s="1071"/>
      <c r="D41" s="1071"/>
      <c r="E41" s="1071"/>
      <c r="F41" s="1071"/>
      <c r="G41" s="1071"/>
      <c r="H41" s="1071"/>
      <c r="I41" s="1071"/>
      <c r="J41" s="1071"/>
      <c r="K41" s="1021"/>
      <c r="R41" s="987"/>
    </row>
    <row r="42" spans="1:23" ht="12.6" customHeight="1">
      <c r="A42" s="1070" t="s">
        <v>916</v>
      </c>
      <c r="B42" s="1072" t="s">
        <v>995</v>
      </c>
      <c r="C42" s="1072"/>
      <c r="D42" s="1072"/>
      <c r="E42" s="1072"/>
      <c r="F42" s="1072"/>
      <c r="G42" s="1072"/>
      <c r="H42" s="1072"/>
      <c r="I42" s="1072"/>
      <c r="J42" s="1072"/>
      <c r="K42" s="1021"/>
      <c r="R42" s="987"/>
    </row>
    <row r="43" spans="1:23" ht="5.0999999999999996" customHeight="1">
      <c r="A43" s="1070"/>
      <c r="B43" s="1071"/>
      <c r="C43" s="1071"/>
      <c r="D43" s="1071"/>
      <c r="E43" s="1071"/>
      <c r="F43" s="1071"/>
      <c r="G43" s="1071"/>
      <c r="H43" s="1071"/>
      <c r="I43" s="1071"/>
      <c r="J43" s="1071"/>
      <c r="K43" s="1021"/>
      <c r="R43" s="987"/>
    </row>
    <row r="44" spans="1:23" ht="12.6" customHeight="1">
      <c r="A44" s="1070" t="s">
        <v>917</v>
      </c>
      <c r="B44" s="1175" t="s">
        <v>975</v>
      </c>
      <c r="C44" s="1175"/>
      <c r="D44" s="1175"/>
      <c r="E44" s="1175"/>
      <c r="F44" s="1175"/>
      <c r="G44" s="1175"/>
      <c r="H44" s="1175"/>
      <c r="I44" s="1175"/>
      <c r="J44" s="1175"/>
      <c r="K44" s="1021"/>
      <c r="R44" s="987"/>
    </row>
    <row r="45" spans="1:23" ht="12.6" customHeight="1">
      <c r="A45" s="1070"/>
      <c r="B45" s="1175"/>
      <c r="C45" s="1175"/>
      <c r="D45" s="1175"/>
      <c r="E45" s="1175"/>
      <c r="F45" s="1175"/>
      <c r="G45" s="1175"/>
      <c r="H45" s="1175"/>
      <c r="I45" s="1175"/>
      <c r="J45" s="1175"/>
      <c r="K45" s="1021"/>
      <c r="R45" s="987"/>
    </row>
    <row r="46" spans="1:23" ht="5.0999999999999996" customHeight="1">
      <c r="A46" s="1070"/>
      <c r="B46" s="1071"/>
      <c r="C46" s="1071"/>
      <c r="D46" s="1071"/>
      <c r="E46" s="1071"/>
      <c r="F46" s="1071"/>
      <c r="G46" s="1071"/>
      <c r="H46" s="1071"/>
      <c r="I46" s="1071"/>
      <c r="J46" s="1071"/>
      <c r="K46" s="1021"/>
      <c r="R46" s="987"/>
    </row>
    <row r="47" spans="1:23">
      <c r="A47" s="1070" t="s">
        <v>918</v>
      </c>
      <c r="B47" s="1073" t="s">
        <v>976</v>
      </c>
      <c r="C47" s="1071"/>
      <c r="D47" s="1071"/>
      <c r="E47" s="1071"/>
      <c r="F47" s="1071"/>
      <c r="G47" s="1071"/>
      <c r="H47" s="1071"/>
      <c r="I47" s="1071"/>
      <c r="J47" s="1071"/>
      <c r="K47" s="1021"/>
      <c r="R47" s="987"/>
    </row>
    <row r="48" spans="1:23" ht="8.1" customHeight="1">
      <c r="A48" s="1070"/>
      <c r="B48" s="1073"/>
      <c r="C48" s="1071"/>
      <c r="D48" s="1071"/>
      <c r="E48" s="1071"/>
      <c r="F48" s="1071"/>
      <c r="G48" s="1071"/>
      <c r="H48" s="1071"/>
      <c r="I48" s="1071"/>
      <c r="J48" s="1071"/>
      <c r="K48" s="1021"/>
      <c r="R48" s="987"/>
    </row>
    <row r="49" spans="1:18" ht="12" customHeight="1">
      <c r="A49" s="1073" t="s">
        <v>919</v>
      </c>
      <c r="B49" s="1175" t="s">
        <v>996</v>
      </c>
      <c r="C49" s="1175"/>
      <c r="D49" s="1175"/>
      <c r="E49" s="1175"/>
      <c r="F49" s="1175"/>
      <c r="G49" s="1175"/>
      <c r="H49" s="1175"/>
      <c r="I49" s="1175"/>
      <c r="J49" s="1071"/>
      <c r="R49" s="987"/>
    </row>
    <row r="50" spans="1:18" ht="11.45" customHeight="1">
      <c r="A50" s="1070"/>
      <c r="B50" s="1175"/>
      <c r="C50" s="1175"/>
      <c r="D50" s="1175"/>
      <c r="E50" s="1175"/>
      <c r="F50" s="1175"/>
      <c r="G50" s="1175"/>
      <c r="H50" s="1175"/>
      <c r="I50" s="1175"/>
      <c r="J50" s="1071"/>
      <c r="R50" s="987"/>
    </row>
    <row r="51" spans="1:18">
      <c r="A51" s="1070"/>
      <c r="B51" s="1074"/>
      <c r="C51" s="1070"/>
      <c r="D51" s="1070"/>
      <c r="E51" s="1070"/>
      <c r="F51" s="1070"/>
      <c r="G51" s="1070"/>
      <c r="H51" s="1070"/>
      <c r="I51" s="1070"/>
      <c r="J51" s="1070"/>
      <c r="R51" s="987"/>
    </row>
    <row r="52" spans="1:18">
      <c r="A52" s="1073" t="s">
        <v>977</v>
      </c>
      <c r="B52" s="1175" t="s">
        <v>997</v>
      </c>
      <c r="C52" s="1175"/>
      <c r="D52" s="1175"/>
      <c r="E52" s="1175"/>
      <c r="F52" s="1175"/>
      <c r="G52" s="1175"/>
      <c r="H52" s="1175"/>
      <c r="I52" s="1175"/>
      <c r="J52" s="1070"/>
      <c r="R52" s="987"/>
    </row>
    <row r="53" spans="1:18">
      <c r="A53" s="1070"/>
      <c r="B53" s="1175"/>
      <c r="C53" s="1175"/>
      <c r="D53" s="1175"/>
      <c r="E53" s="1175"/>
      <c r="F53" s="1175"/>
      <c r="G53" s="1175"/>
      <c r="H53" s="1175"/>
      <c r="I53" s="1175"/>
      <c r="J53" s="1070"/>
      <c r="R53" s="987"/>
    </row>
    <row r="54" spans="1:18">
      <c r="A54" s="1070"/>
      <c r="B54" s="1074"/>
      <c r="C54" s="1070"/>
      <c r="D54" s="1070"/>
      <c r="E54" s="1070"/>
      <c r="F54" s="1070"/>
      <c r="G54" s="1070"/>
      <c r="H54" s="1070"/>
      <c r="I54" s="1070"/>
      <c r="J54" s="1070"/>
    </row>
    <row r="55" spans="1:18">
      <c r="A55" s="1073"/>
      <c r="B55" s="1070"/>
      <c r="C55" s="1070"/>
      <c r="D55" s="1070"/>
      <c r="E55" s="1070"/>
      <c r="F55" s="1070"/>
      <c r="G55" s="1070"/>
      <c r="H55" s="1070"/>
      <c r="I55" s="1070"/>
      <c r="J55" s="1070"/>
    </row>
    <row r="56" spans="1:18">
      <c r="A56" s="1070"/>
      <c r="B56" s="1074"/>
      <c r="C56" s="1070"/>
      <c r="D56" s="1070"/>
      <c r="E56" s="1070"/>
      <c r="F56" s="1070"/>
      <c r="G56" s="1070"/>
      <c r="H56" s="1070"/>
      <c r="I56" s="1070"/>
      <c r="J56" s="1070"/>
    </row>
    <row r="57" spans="1:18">
      <c r="A57" s="1070"/>
      <c r="B57" s="1074"/>
      <c r="C57" s="1070"/>
      <c r="D57" s="1070"/>
      <c r="E57" s="1070"/>
      <c r="F57" s="1070"/>
      <c r="G57" s="1070"/>
      <c r="H57" s="1070"/>
      <c r="I57" s="1070"/>
      <c r="J57" s="1070"/>
    </row>
    <row r="58" spans="1:18">
      <c r="A58" s="1069"/>
      <c r="B58" s="1069"/>
      <c r="C58" s="1069"/>
      <c r="D58" s="1069"/>
      <c r="E58" s="1069"/>
      <c r="F58" s="1069"/>
      <c r="G58" s="1069"/>
      <c r="H58" s="1069"/>
      <c r="I58" s="1069"/>
      <c r="J58" s="1069"/>
      <c r="K58" s="1020"/>
    </row>
    <row r="59" spans="1:18">
      <c r="A59" s="1020"/>
      <c r="B59" s="1020"/>
      <c r="C59" s="1020"/>
      <c r="D59" s="1020"/>
      <c r="E59" s="1020"/>
      <c r="F59" s="1020"/>
      <c r="G59" s="1020"/>
      <c r="H59" s="1020"/>
      <c r="I59" s="1020"/>
      <c r="J59" s="1020"/>
      <c r="K59" s="1020"/>
    </row>
    <row r="60" spans="1:18">
      <c r="D60" s="1020"/>
      <c r="E60" s="1020"/>
      <c r="F60" s="1020"/>
      <c r="G60" s="1020"/>
      <c r="H60" s="1020"/>
      <c r="I60" s="1020"/>
      <c r="J60" s="1020"/>
      <c r="K60" s="1020"/>
    </row>
    <row r="61" spans="1:18">
      <c r="A61" s="1020"/>
      <c r="B61" s="1020"/>
      <c r="C61" s="1020"/>
      <c r="D61" s="1020"/>
      <c r="E61" s="1020"/>
      <c r="F61" s="1020"/>
      <c r="G61" s="1020"/>
      <c r="H61" s="1020"/>
      <c r="I61" s="1020"/>
      <c r="J61" s="1020"/>
      <c r="K61" s="1020"/>
    </row>
    <row r="62" spans="1:18">
      <c r="A62" s="1020"/>
      <c r="B62" s="1020"/>
      <c r="C62" s="1020"/>
      <c r="D62" s="1020"/>
      <c r="E62" s="1020"/>
      <c r="F62" s="1020"/>
      <c r="G62" s="1020"/>
      <c r="H62" s="1020"/>
      <c r="I62" s="1020"/>
      <c r="J62" s="1020"/>
      <c r="K62" s="1020"/>
    </row>
    <row r="63" spans="1:18">
      <c r="A63" s="1020"/>
      <c r="B63" s="1020"/>
      <c r="C63" s="1020"/>
      <c r="D63" s="1020"/>
      <c r="E63" s="1020"/>
      <c r="F63" s="1020"/>
      <c r="G63" s="1020"/>
      <c r="H63" s="1020"/>
      <c r="I63" s="1020"/>
      <c r="J63" s="1020"/>
      <c r="K63" s="1020"/>
    </row>
    <row r="64" spans="1:18">
      <c r="A64" s="1020"/>
      <c r="B64" s="1020"/>
      <c r="C64" s="1020"/>
      <c r="D64" s="1020"/>
      <c r="E64" s="1020"/>
      <c r="F64" s="1020"/>
      <c r="G64" s="1020"/>
      <c r="H64" s="1020"/>
      <c r="I64" s="1020"/>
      <c r="J64" s="1020"/>
      <c r="K64" s="1020"/>
    </row>
    <row r="65" spans="1:11">
      <c r="A65" s="1020"/>
      <c r="B65" s="1020"/>
      <c r="C65" s="1020"/>
      <c r="D65" s="1020"/>
      <c r="E65" s="1020"/>
      <c r="F65" s="1020"/>
      <c r="G65" s="1020"/>
      <c r="H65" s="1020"/>
      <c r="I65" s="1020"/>
      <c r="J65" s="1020"/>
      <c r="K65" s="1020"/>
    </row>
    <row r="66" spans="1:11">
      <c r="A66" s="1020"/>
      <c r="B66" s="1020"/>
      <c r="C66" s="1020"/>
      <c r="D66" s="1020"/>
      <c r="E66" s="1020"/>
      <c r="F66" s="1020"/>
      <c r="G66" s="1020"/>
      <c r="H66" s="1020"/>
      <c r="I66" s="1020"/>
      <c r="J66" s="1020"/>
      <c r="K66" s="1020"/>
    </row>
    <row r="67" spans="1:11">
      <c r="A67" s="1020"/>
      <c r="B67" s="1020"/>
      <c r="C67" s="1020"/>
      <c r="D67" s="1020"/>
      <c r="E67" s="1020"/>
      <c r="F67" s="1020"/>
      <c r="G67" s="1020"/>
      <c r="H67" s="1020"/>
      <c r="I67" s="1020"/>
      <c r="J67" s="1020"/>
      <c r="K67" s="1020"/>
    </row>
    <row r="68" spans="1:11">
      <c r="A68" s="1020"/>
      <c r="B68" s="1020"/>
      <c r="C68" s="1020"/>
      <c r="D68" s="1020"/>
      <c r="E68" s="1020"/>
      <c r="F68" s="1020"/>
      <c r="G68" s="1020"/>
      <c r="H68" s="1020"/>
      <c r="I68" s="1020"/>
      <c r="J68" s="1020"/>
      <c r="K68" s="1020"/>
    </row>
    <row r="75" spans="1:11">
      <c r="B75" s="1012"/>
    </row>
    <row r="76" spans="1:11">
      <c r="B76" s="983"/>
    </row>
    <row r="77" spans="1:11">
      <c r="B77" s="983"/>
    </row>
    <row r="78" spans="1:11">
      <c r="B78" s="983"/>
    </row>
    <row r="79" spans="1:11">
      <c r="B79" s="983"/>
    </row>
    <row r="80" spans="1:11">
      <c r="A80" s="1023"/>
      <c r="B80" s="1020"/>
      <c r="C80" s="1020"/>
      <c r="D80" s="1020"/>
      <c r="E80" s="1020"/>
      <c r="F80" s="1020"/>
      <c r="G80" s="1020"/>
      <c r="H80" s="1020"/>
      <c r="I80" s="1020"/>
      <c r="J80" s="1020"/>
      <c r="K80" s="1020"/>
    </row>
    <row r="81" spans="1:11">
      <c r="A81" s="1020"/>
      <c r="B81" s="1020"/>
      <c r="C81" s="1020"/>
      <c r="D81" s="1020"/>
      <c r="E81" s="1020"/>
      <c r="F81" s="1020"/>
      <c r="G81" s="1020"/>
      <c r="H81" s="1020"/>
      <c r="I81" s="1020"/>
      <c r="J81" s="1020"/>
      <c r="K81" s="1020"/>
    </row>
    <row r="82" spans="1:11">
      <c r="A82" s="1020"/>
      <c r="B82" s="1020"/>
      <c r="C82" s="1020"/>
      <c r="D82" s="1020"/>
      <c r="E82" s="1020"/>
      <c r="F82" s="1020"/>
      <c r="G82" s="1020"/>
      <c r="H82" s="1020"/>
      <c r="I82" s="1020"/>
      <c r="J82" s="1020"/>
      <c r="K82" s="1020"/>
    </row>
    <row r="83" spans="1:11">
      <c r="A83" s="1020"/>
      <c r="B83" s="1020"/>
      <c r="C83" s="1020"/>
      <c r="D83" s="1020"/>
      <c r="E83" s="1020"/>
      <c r="F83" s="1020"/>
      <c r="G83" s="1020"/>
      <c r="H83" s="1020"/>
      <c r="I83" s="1020"/>
      <c r="J83" s="1020"/>
      <c r="K83" s="1020"/>
    </row>
    <row r="84" spans="1:11">
      <c r="A84" s="1020"/>
      <c r="B84" s="1020"/>
      <c r="C84" s="1020"/>
      <c r="D84" s="1024"/>
      <c r="E84" s="1024"/>
      <c r="F84" s="1024"/>
      <c r="G84" s="1020"/>
      <c r="H84" s="1020"/>
      <c r="I84" s="1020"/>
      <c r="J84" s="1020"/>
      <c r="K84" s="1020"/>
    </row>
    <row r="85" spans="1:11">
      <c r="A85" s="1020"/>
      <c r="B85" s="1020"/>
      <c r="C85" s="1020"/>
      <c r="D85" s="1022"/>
      <c r="E85" s="1022"/>
      <c r="F85" s="1022"/>
      <c r="G85" s="1020"/>
      <c r="H85" s="1020"/>
      <c r="I85" s="1020"/>
      <c r="J85" s="1020"/>
      <c r="K85" s="1020"/>
    </row>
    <row r="86" spans="1:11">
      <c r="A86" s="1020"/>
      <c r="B86" s="1020"/>
      <c r="C86" s="1020"/>
      <c r="D86" s="1024"/>
      <c r="E86" s="1024"/>
      <c r="F86" s="1024"/>
      <c r="G86" s="1020"/>
      <c r="H86" s="1020"/>
      <c r="I86" s="1020"/>
      <c r="J86" s="1020"/>
      <c r="K86" s="1020"/>
    </row>
    <row r="87" spans="1:11">
      <c r="A87" s="1020"/>
      <c r="B87" s="1020"/>
      <c r="C87" s="1020"/>
      <c r="D87" s="1020"/>
      <c r="E87" s="1020"/>
      <c r="F87" s="1020"/>
      <c r="G87" s="1020"/>
      <c r="H87" s="1020"/>
      <c r="I87" s="1020"/>
      <c r="J87" s="1020"/>
      <c r="K87" s="1020"/>
    </row>
    <row r="88" spans="1:11">
      <c r="A88" s="1020"/>
      <c r="B88" s="1020"/>
      <c r="C88" s="1020"/>
      <c r="D88" s="1020"/>
      <c r="E88" s="1020"/>
      <c r="F88" s="1020"/>
      <c r="G88" s="1020"/>
      <c r="H88" s="1020"/>
      <c r="I88" s="1020"/>
      <c r="J88" s="1020"/>
      <c r="K88" s="1020"/>
    </row>
    <row r="89" spans="1:11">
      <c r="A89" s="1020"/>
      <c r="B89" s="1020"/>
      <c r="C89" s="1020"/>
      <c r="D89" s="1020"/>
      <c r="E89" s="1020"/>
      <c r="F89" s="1020"/>
      <c r="G89" s="1020"/>
      <c r="H89" s="1020"/>
      <c r="I89" s="1020"/>
      <c r="J89" s="1020"/>
      <c r="K89" s="1020"/>
    </row>
    <row r="90" spans="1:11">
      <c r="A90" s="1020"/>
      <c r="C90" s="1020"/>
      <c r="D90" s="1020"/>
      <c r="E90" s="1020"/>
      <c r="F90" s="1020"/>
      <c r="G90" s="1020"/>
      <c r="H90" s="1020"/>
      <c r="I90" s="1020"/>
      <c r="J90" s="1020"/>
      <c r="K90" s="1020"/>
    </row>
    <row r="91" spans="1:11">
      <c r="A91" s="1020"/>
      <c r="B91" s="1020"/>
      <c r="C91" s="1020"/>
      <c r="D91" s="1020"/>
      <c r="E91" s="1020"/>
      <c r="F91" s="1020"/>
      <c r="G91" s="1020"/>
      <c r="H91" s="1020"/>
      <c r="I91" s="1020"/>
      <c r="J91" s="1020"/>
      <c r="K91" s="1020"/>
    </row>
    <row r="92" spans="1:11">
      <c r="A92" s="1020"/>
      <c r="B92" s="1020"/>
      <c r="C92" s="1020"/>
      <c r="D92" s="1020"/>
      <c r="E92" s="1020"/>
      <c r="F92" s="1020"/>
      <c r="G92" s="1020"/>
      <c r="H92" s="1020"/>
      <c r="I92" s="1020"/>
      <c r="J92" s="1020"/>
      <c r="K92" s="1020"/>
    </row>
  </sheetData>
  <mergeCells count="11">
    <mergeCell ref="R16:R17"/>
    <mergeCell ref="B32:C32"/>
    <mergeCell ref="B35:J40"/>
    <mergeCell ref="B44:J45"/>
    <mergeCell ref="B49:I50"/>
    <mergeCell ref="B52:I53"/>
    <mergeCell ref="I9:J9"/>
    <mergeCell ref="K9:M9"/>
    <mergeCell ref="N9:O9"/>
    <mergeCell ref="P9:Q9"/>
    <mergeCell ref="P11:Q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47"/>
  <sheetViews>
    <sheetView tabSelected="1" workbookViewId="0">
      <selection activeCell="O54" sqref="O54"/>
    </sheetView>
  </sheetViews>
  <sheetFormatPr defaultColWidth="11.85546875" defaultRowHeight="12.75"/>
  <cols>
    <col min="1" max="1" width="9" style="1032" customWidth="1"/>
    <col min="2" max="2" width="15" style="1033" bestFit="1" customWidth="1"/>
    <col min="3" max="3" width="4.140625" style="1033" customWidth="1"/>
    <col min="4" max="4" width="21" style="1033" bestFit="1" customWidth="1"/>
    <col min="5" max="5" width="29.7109375" style="1033" bestFit="1" customWidth="1"/>
    <col min="6" max="6" width="21.42578125" style="1033" customWidth="1"/>
    <col min="7" max="7" width="2.7109375" style="1033" customWidth="1"/>
    <col min="8" max="8" width="16.7109375" style="1033" customWidth="1"/>
    <col min="9" max="9" width="2.42578125" style="1033" customWidth="1"/>
    <col min="10" max="10" width="17.42578125" style="1033" customWidth="1"/>
    <col min="11" max="11" width="3.5703125" style="1033" customWidth="1"/>
    <col min="12" max="12" width="20.5703125" style="1033" customWidth="1"/>
    <col min="13" max="13" width="16.7109375" style="1033" customWidth="1"/>
    <col min="14" max="14" width="3.5703125" style="1033" customWidth="1"/>
    <col min="15" max="15" width="19.42578125" style="1033" bestFit="1" customWidth="1"/>
    <col min="16" max="16" width="16" style="1036" bestFit="1" customWidth="1"/>
    <col min="17" max="17" width="15.28515625" style="1033" bestFit="1" customWidth="1"/>
    <col min="18" max="16384" width="11.85546875" style="1033"/>
  </cols>
  <sheetData>
    <row r="1" spans="1:18" ht="15">
      <c r="A1" s="1032" t="s">
        <v>936</v>
      </c>
      <c r="L1" s="1034"/>
      <c r="M1" s="1034"/>
      <c r="O1" s="1035" t="s">
        <v>937</v>
      </c>
    </row>
    <row r="2" spans="1:18">
      <c r="A2" s="1037" t="s">
        <v>938</v>
      </c>
      <c r="O2" s="1038" t="s">
        <v>939</v>
      </c>
    </row>
    <row r="3" spans="1:18">
      <c r="A3" s="1032" t="s">
        <v>940</v>
      </c>
      <c r="O3" s="1038" t="s">
        <v>941</v>
      </c>
    </row>
    <row r="4" spans="1:18">
      <c r="A4" s="1032" t="s">
        <v>942</v>
      </c>
      <c r="O4" s="1035" t="s">
        <v>943</v>
      </c>
    </row>
    <row r="5" spans="1:18">
      <c r="A5" s="1032" t="s">
        <v>944</v>
      </c>
    </row>
    <row r="6" spans="1:18">
      <c r="A6" s="1032" t="s">
        <v>863</v>
      </c>
    </row>
    <row r="7" spans="1:18">
      <c r="A7" s="1183" t="s">
        <v>945</v>
      </c>
      <c r="B7" s="1183"/>
      <c r="C7" s="1183"/>
      <c r="D7" s="1183"/>
      <c r="E7" s="1183"/>
      <c r="F7" s="1183"/>
      <c r="G7" s="1183"/>
      <c r="H7" s="1183"/>
      <c r="I7" s="1183"/>
      <c r="J7" s="1183"/>
      <c r="K7" s="1183"/>
      <c r="L7" s="1183"/>
      <c r="M7" s="1039"/>
      <c r="N7" s="1040"/>
      <c r="O7" s="1040"/>
    </row>
    <row r="9" spans="1:18">
      <c r="A9" s="1041" t="s">
        <v>446</v>
      </c>
      <c r="B9" s="1042" t="s">
        <v>447</v>
      </c>
      <c r="C9" s="1042"/>
      <c r="D9" s="1042" t="s">
        <v>448</v>
      </c>
      <c r="E9" s="1042" t="s">
        <v>449</v>
      </c>
      <c r="F9" s="1042" t="s">
        <v>450</v>
      </c>
      <c r="G9" s="1042"/>
      <c r="H9" s="1042" t="s">
        <v>946</v>
      </c>
      <c r="I9" s="1042"/>
      <c r="J9" s="1042" t="s">
        <v>452</v>
      </c>
      <c r="K9" s="1042"/>
      <c r="L9" s="1042" t="s">
        <v>947</v>
      </c>
      <c r="M9" s="1042" t="s">
        <v>454</v>
      </c>
      <c r="N9" s="1042"/>
      <c r="O9" s="1042" t="s">
        <v>948</v>
      </c>
      <c r="R9" s="1184"/>
    </row>
    <row r="10" spans="1:18">
      <c r="A10" s="1043"/>
      <c r="F10" s="1044"/>
      <c r="G10" s="1044"/>
      <c r="H10" s="1044"/>
      <c r="R10" s="1184"/>
    </row>
    <row r="11" spans="1:18" ht="38.25">
      <c r="A11" s="1043" t="s">
        <v>949</v>
      </c>
      <c r="B11" s="1033" t="s">
        <v>950</v>
      </c>
      <c r="D11" s="1045" t="s">
        <v>951</v>
      </c>
      <c r="E11" s="1042" t="s">
        <v>876</v>
      </c>
      <c r="F11" s="1045" t="s">
        <v>952</v>
      </c>
      <c r="G11" s="1045"/>
      <c r="H11" s="1045" t="s">
        <v>953</v>
      </c>
      <c r="I11" s="1046"/>
      <c r="J11" s="1045" t="s">
        <v>954</v>
      </c>
      <c r="L11" s="1045" t="s">
        <v>955</v>
      </c>
      <c r="M11" s="1045" t="s">
        <v>956</v>
      </c>
      <c r="O11" s="1045" t="s">
        <v>957</v>
      </c>
    </row>
    <row r="12" spans="1:18">
      <c r="D12" s="1036"/>
      <c r="E12" s="1036"/>
      <c r="F12" s="1036"/>
      <c r="G12" s="1036"/>
      <c r="H12" s="1036"/>
      <c r="I12" s="1036"/>
      <c r="J12" s="1036"/>
      <c r="K12" s="1036"/>
      <c r="L12" s="1047"/>
      <c r="M12" s="1047"/>
      <c r="N12" s="1036"/>
      <c r="O12" s="1036"/>
    </row>
    <row r="13" spans="1:18">
      <c r="A13" s="1041" t="s">
        <v>958</v>
      </c>
      <c r="B13" s="1048" t="s">
        <v>959</v>
      </c>
      <c r="D13" s="1036">
        <v>9916884</v>
      </c>
      <c r="E13" s="1036" t="s">
        <v>960</v>
      </c>
      <c r="F13" s="1047">
        <v>3966092.89</v>
      </c>
      <c r="G13" s="1049"/>
      <c r="H13" s="1050">
        <f>+F13/D13</f>
        <v>0.39993337524165856</v>
      </c>
      <c r="I13" s="1051"/>
      <c r="J13" s="1047">
        <f>-F13</f>
        <v>-3966092.89</v>
      </c>
      <c r="K13" s="1036"/>
      <c r="L13" s="1047">
        <f>+F13+J13</f>
        <v>0</v>
      </c>
      <c r="M13" s="1047"/>
      <c r="N13" s="1036"/>
      <c r="O13" s="1036">
        <f>+D13-L13</f>
        <v>9916884</v>
      </c>
    </row>
    <row r="14" spans="1:18">
      <c r="A14" s="1043"/>
      <c r="B14" s="1048"/>
      <c r="D14" s="1036"/>
      <c r="E14" s="1036"/>
      <c r="F14" s="1052"/>
      <c r="G14" s="1050"/>
      <c r="H14" s="1050"/>
      <c r="I14" s="1051"/>
      <c r="J14" s="1047"/>
      <c r="K14" s="1036"/>
      <c r="L14" s="1047"/>
      <c r="M14" s="1047"/>
      <c r="N14" s="1036"/>
      <c r="O14" s="1036"/>
    </row>
    <row r="15" spans="1:18" ht="15">
      <c r="A15" s="1053">
        <f>+A13+1</f>
        <v>2</v>
      </c>
      <c r="B15" s="1048" t="s">
        <v>961</v>
      </c>
      <c r="D15" s="1036">
        <v>-259292066</v>
      </c>
      <c r="E15" s="1036" t="s">
        <v>962</v>
      </c>
      <c r="F15" s="1047">
        <v>-103716826.31</v>
      </c>
      <c r="G15" s="1050"/>
      <c r="H15" s="1050">
        <f>+F15/D15</f>
        <v>0.39999999965290106</v>
      </c>
      <c r="I15" s="1054"/>
      <c r="J15" s="1047">
        <v>0</v>
      </c>
      <c r="K15" s="1036"/>
      <c r="L15" s="1047">
        <f>+F15-L16</f>
        <v>-106249253.31</v>
      </c>
      <c r="M15" s="1047" t="s">
        <v>887</v>
      </c>
      <c r="N15" s="1036"/>
      <c r="O15" s="1055">
        <f>+D15-L15-L16</f>
        <v>-155575239.69</v>
      </c>
      <c r="P15" s="1046"/>
      <c r="Q15" s="1046"/>
    </row>
    <row r="16" spans="1:18" ht="15">
      <c r="A16" s="1043"/>
      <c r="B16" s="1048"/>
      <c r="D16" s="1036"/>
      <c r="E16" s="1036"/>
      <c r="F16" s="1056"/>
      <c r="G16" s="1057"/>
      <c r="H16" s="1057"/>
      <c r="I16" s="1054"/>
      <c r="J16" s="1047"/>
      <c r="K16" s="1036"/>
      <c r="L16" s="1047">
        <v>2532427</v>
      </c>
      <c r="M16" s="1047" t="s">
        <v>891</v>
      </c>
      <c r="N16" s="1036"/>
      <c r="O16" s="1055"/>
      <c r="P16" s="1046"/>
      <c r="Q16" s="1046"/>
    </row>
    <row r="17" spans="1:17" ht="15">
      <c r="A17" s="1043"/>
      <c r="B17" s="1048"/>
      <c r="D17" s="1036"/>
      <c r="E17" s="1036"/>
      <c r="F17" s="1056"/>
      <c r="G17" s="1057"/>
      <c r="H17" s="1057"/>
      <c r="I17" s="1054"/>
      <c r="J17" s="1047"/>
      <c r="K17" s="1036"/>
      <c r="L17" s="1047"/>
      <c r="M17" s="1047"/>
      <c r="N17" s="1036"/>
      <c r="O17" s="1055"/>
      <c r="P17" s="1046"/>
      <c r="Q17" s="1046"/>
    </row>
    <row r="18" spans="1:17" ht="15">
      <c r="A18" s="1053">
        <f>+A15+1</f>
        <v>3</v>
      </c>
      <c r="B18" s="1048" t="s">
        <v>963</v>
      </c>
      <c r="D18" s="1036">
        <v>0</v>
      </c>
      <c r="E18" s="1036" t="s">
        <v>964</v>
      </c>
      <c r="F18" s="1047">
        <v>0</v>
      </c>
      <c r="G18" s="1050"/>
      <c r="H18" s="1058" t="s">
        <v>882</v>
      </c>
      <c r="I18" s="1059"/>
      <c r="J18" s="1047">
        <f>-J13-J15</f>
        <v>3966092.89</v>
      </c>
      <c r="K18" s="1036"/>
      <c r="L18" s="1047">
        <f>+F18+J18</f>
        <v>3966092.89</v>
      </c>
      <c r="M18" s="1047" t="s">
        <v>891</v>
      </c>
      <c r="N18" s="1036"/>
      <c r="O18" s="1055">
        <f>+D18-L18</f>
        <v>-3966092.89</v>
      </c>
      <c r="P18" s="1046"/>
      <c r="Q18" s="1046"/>
    </row>
    <row r="19" spans="1:17">
      <c r="B19" s="1048"/>
      <c r="E19" s="1036"/>
      <c r="F19" s="1047"/>
      <c r="G19" s="1050"/>
      <c r="H19" s="1050"/>
      <c r="I19" s="1047"/>
      <c r="J19" s="1047"/>
      <c r="K19" s="1036"/>
      <c r="L19" s="1047"/>
      <c r="M19" s="1047"/>
      <c r="N19" s="1036"/>
      <c r="O19" s="1036"/>
    </row>
    <row r="20" spans="1:17" ht="15">
      <c r="A20" s="1053">
        <f>+A18+1</f>
        <v>4</v>
      </c>
      <c r="B20" s="1033" t="s">
        <v>418</v>
      </c>
      <c r="D20" s="1060">
        <f>+D18+D15+D13</f>
        <v>-249375182</v>
      </c>
      <c r="E20" s="1036"/>
      <c r="F20" s="1060">
        <f>SUM(F13:F16)</f>
        <v>-99750733.420000002</v>
      </c>
      <c r="G20" s="1046"/>
      <c r="H20" s="1046"/>
      <c r="J20" s="1060">
        <f>SUM(J13:J18)</f>
        <v>0</v>
      </c>
      <c r="K20" s="1036"/>
      <c r="L20" s="1061">
        <f>SUM(L13:L18)</f>
        <v>-99750733.420000002</v>
      </c>
      <c r="M20" s="1062"/>
      <c r="N20" s="1036"/>
      <c r="O20" s="1061">
        <f>SUM(O13:O18)</f>
        <v>-149624448.57999998</v>
      </c>
      <c r="P20" s="1063"/>
    </row>
    <row r="21" spans="1:17">
      <c r="D21" s="1036"/>
      <c r="E21" s="1036"/>
      <c r="F21" s="1064"/>
      <c r="G21" s="1064"/>
      <c r="H21" s="1064"/>
      <c r="I21" s="1036"/>
      <c r="J21" s="1036"/>
      <c r="K21" s="1036"/>
      <c r="L21" s="1047"/>
      <c r="M21" s="1047"/>
      <c r="N21" s="1036"/>
      <c r="O21" s="1036"/>
    </row>
    <row r="22" spans="1:17" ht="15">
      <c r="A22" s="1033"/>
      <c r="F22" s="1046"/>
      <c r="I22" s="1036"/>
      <c r="J22" s="1036"/>
      <c r="K22" s="1036"/>
      <c r="N22" s="1036"/>
      <c r="O22" s="1055"/>
    </row>
    <row r="23" spans="1:17">
      <c r="O23" s="1065"/>
    </row>
    <row r="24" spans="1:17" ht="12.6" customHeight="1">
      <c r="A24" s="1185" t="s">
        <v>965</v>
      </c>
      <c r="B24" s="1185"/>
      <c r="C24" s="1185"/>
      <c r="D24" s="1185"/>
      <c r="E24" s="1185"/>
      <c r="F24" s="1185"/>
      <c r="G24" s="1185"/>
      <c r="H24" s="1185"/>
      <c r="I24" s="1185"/>
      <c r="J24" s="1066"/>
    </row>
    <row r="25" spans="1:17">
      <c r="A25" s="1185"/>
      <c r="B25" s="1185"/>
      <c r="C25" s="1185"/>
      <c r="D25" s="1185"/>
      <c r="E25" s="1185"/>
      <c r="F25" s="1185"/>
      <c r="G25" s="1185"/>
      <c r="H25" s="1185"/>
      <c r="I25" s="1185"/>
      <c r="J25" s="1066"/>
    </row>
    <row r="26" spans="1:17">
      <c r="A26" s="1185"/>
      <c r="B26" s="1185"/>
      <c r="C26" s="1185"/>
      <c r="D26" s="1185"/>
      <c r="E26" s="1185"/>
      <c r="F26" s="1185"/>
      <c r="G26" s="1185"/>
      <c r="H26" s="1185"/>
      <c r="I26" s="1185"/>
      <c r="J26" s="1066"/>
    </row>
    <row r="27" spans="1:17">
      <c r="A27" s="1043"/>
      <c r="B27" s="1066"/>
      <c r="C27" s="1066"/>
      <c r="D27" s="1066"/>
      <c r="E27" s="1066"/>
      <c r="F27" s="1066"/>
      <c r="G27" s="1066"/>
      <c r="H27" s="1066"/>
      <c r="J27" s="1066"/>
    </row>
    <row r="28" spans="1:17" ht="12.75" customHeight="1">
      <c r="A28" s="1067" t="s">
        <v>966</v>
      </c>
      <c r="B28" s="1186" t="s">
        <v>967</v>
      </c>
      <c r="C28" s="1186"/>
      <c r="D28" s="1186"/>
      <c r="E28" s="1186"/>
      <c r="F28" s="1186"/>
      <c r="G28" s="1186"/>
      <c r="H28" s="1186"/>
      <c r="I28" s="1186"/>
      <c r="J28" s="1186"/>
      <c r="K28" s="1186"/>
    </row>
    <row r="29" spans="1:17">
      <c r="A29" s="1033"/>
      <c r="B29" s="1186"/>
      <c r="C29" s="1186"/>
      <c r="D29" s="1186"/>
      <c r="E29" s="1186"/>
      <c r="F29" s="1186"/>
      <c r="G29" s="1186"/>
      <c r="H29" s="1186"/>
      <c r="I29" s="1186"/>
      <c r="J29" s="1186"/>
      <c r="K29" s="1186"/>
    </row>
    <row r="30" spans="1:17">
      <c r="A30" s="1043"/>
      <c r="B30" s="1186"/>
      <c r="C30" s="1186"/>
      <c r="D30" s="1186"/>
      <c r="E30" s="1186"/>
      <c r="F30" s="1186"/>
      <c r="G30" s="1186"/>
      <c r="H30" s="1186"/>
      <c r="I30" s="1186"/>
      <c r="J30" s="1186"/>
      <c r="K30" s="1186"/>
    </row>
    <row r="31" spans="1:17" ht="12.6" customHeight="1">
      <c r="A31" s="1033"/>
      <c r="J31" s="1036"/>
    </row>
    <row r="32" spans="1:17" ht="15">
      <c r="A32" s="1043" t="s">
        <v>968</v>
      </c>
      <c r="B32" s="1187" t="s">
        <v>969</v>
      </c>
      <c r="C32" s="1187"/>
      <c r="D32" s="1187"/>
      <c r="E32" s="1187"/>
      <c r="F32" s="1187"/>
      <c r="G32" s="1187"/>
      <c r="H32" s="1187"/>
      <c r="J32" s="1036"/>
      <c r="K32" s="1046"/>
      <c r="L32" s="1046"/>
      <c r="M32" s="1046"/>
      <c r="N32" s="1046"/>
      <c r="O32" s="1046"/>
    </row>
    <row r="33" spans="1:15" ht="15">
      <c r="A33" s="1043"/>
      <c r="B33" s="1187"/>
      <c r="C33" s="1187"/>
      <c r="D33" s="1187"/>
      <c r="E33" s="1187"/>
      <c r="F33" s="1187"/>
      <c r="G33" s="1187"/>
      <c r="H33" s="1187"/>
      <c r="J33" s="1046"/>
      <c r="K33" s="1046"/>
      <c r="L33" s="1046"/>
      <c r="M33" s="1046"/>
      <c r="N33" s="1046"/>
      <c r="O33" s="1046"/>
    </row>
    <row r="34" spans="1:15" ht="15" customHeight="1">
      <c r="A34" s="1033"/>
      <c r="J34" s="1046"/>
      <c r="K34" s="1046"/>
      <c r="L34" s="1046"/>
      <c r="M34" s="1046"/>
      <c r="N34" s="1046"/>
      <c r="O34" s="1046"/>
    </row>
    <row r="35" spans="1:15" ht="15">
      <c r="A35" s="1043" t="s">
        <v>970</v>
      </c>
      <c r="B35" s="1188" t="s">
        <v>971</v>
      </c>
      <c r="C35" s="1188"/>
      <c r="D35" s="1188"/>
      <c r="E35" s="1188"/>
      <c r="F35" s="1188"/>
      <c r="G35" s="1188"/>
      <c r="H35" s="1188"/>
      <c r="I35" s="1188"/>
      <c r="J35" s="1046"/>
      <c r="K35" s="1046"/>
      <c r="L35" s="1046"/>
      <c r="M35" s="1046"/>
      <c r="N35" s="1046"/>
      <c r="O35" s="1046"/>
    </row>
    <row r="36" spans="1:15" ht="15">
      <c r="A36" s="1043"/>
      <c r="B36" s="1188"/>
      <c r="C36" s="1188"/>
      <c r="D36" s="1188"/>
      <c r="E36" s="1188"/>
      <c r="F36" s="1188"/>
      <c r="G36" s="1188"/>
      <c r="H36" s="1188"/>
      <c r="I36" s="1188"/>
      <c r="J36" s="1046"/>
      <c r="K36" s="1046"/>
      <c r="L36" s="1046"/>
      <c r="M36" s="1046"/>
      <c r="N36" s="1046"/>
      <c r="O36" s="1046"/>
    </row>
    <row r="37" spans="1:15" ht="15">
      <c r="A37" s="1046"/>
      <c r="B37" s="1046"/>
      <c r="C37" s="1046"/>
      <c r="D37" s="1046"/>
      <c r="E37" s="1046"/>
      <c r="F37" s="1046"/>
      <c r="G37" s="1046"/>
      <c r="H37" s="1046"/>
      <c r="I37" s="1046"/>
      <c r="J37" s="1046"/>
      <c r="K37" s="1046"/>
      <c r="L37" s="1046"/>
      <c r="M37" s="1046"/>
      <c r="N37" s="1046"/>
      <c r="O37" s="1046"/>
    </row>
    <row r="38" spans="1:15" ht="15" customHeight="1">
      <c r="A38" s="1043" t="s">
        <v>972</v>
      </c>
      <c r="B38" s="1182" t="s">
        <v>973</v>
      </c>
      <c r="C38" s="1182"/>
      <c r="D38" s="1182"/>
      <c r="E38" s="1182"/>
      <c r="F38" s="1182"/>
      <c r="G38" s="1182"/>
      <c r="H38" s="1182"/>
      <c r="I38" s="1182"/>
      <c r="J38" s="1182"/>
      <c r="K38" s="1182"/>
      <c r="L38" s="1182"/>
      <c r="M38" s="1046"/>
      <c r="N38" s="1046"/>
      <c r="O38" s="1046"/>
    </row>
    <row r="39" spans="1:15" ht="15">
      <c r="A39" s="1043"/>
      <c r="B39" s="1182"/>
      <c r="C39" s="1182"/>
      <c r="D39" s="1182"/>
      <c r="E39" s="1182"/>
      <c r="F39" s="1182"/>
      <c r="G39" s="1182"/>
      <c r="H39" s="1182"/>
      <c r="I39" s="1182"/>
      <c r="J39" s="1182"/>
      <c r="K39" s="1182"/>
      <c r="L39" s="1182"/>
      <c r="M39" s="1046"/>
      <c r="N39" s="1046"/>
      <c r="O39" s="1046"/>
    </row>
    <row r="40" spans="1:15" ht="15">
      <c r="A40" s="1046"/>
      <c r="B40" s="1046"/>
      <c r="C40" s="1046"/>
      <c r="D40" s="1046"/>
      <c r="E40" s="1046"/>
      <c r="F40" s="1046"/>
      <c r="G40" s="1068"/>
      <c r="H40" s="1068"/>
      <c r="I40" s="1068"/>
      <c r="J40" s="1046"/>
      <c r="K40" s="1046"/>
      <c r="L40" s="1046"/>
      <c r="M40" s="1046"/>
      <c r="N40" s="1046"/>
      <c r="O40" s="1046"/>
    </row>
    <row r="41" spans="1:15" ht="15">
      <c r="A41" s="1046"/>
      <c r="B41" s="1046"/>
      <c r="C41" s="1046"/>
      <c r="D41" s="1046"/>
      <c r="E41" s="1046"/>
      <c r="F41" s="1046"/>
      <c r="G41" s="1068"/>
      <c r="H41" s="1068"/>
      <c r="I41" s="1068"/>
      <c r="J41" s="1046"/>
      <c r="K41" s="1046"/>
      <c r="L41" s="1046"/>
      <c r="M41" s="1046"/>
      <c r="N41" s="1046"/>
      <c r="O41" s="1046"/>
    </row>
    <row r="42" spans="1:15" ht="15">
      <c r="A42" s="1046"/>
      <c r="B42" s="1046"/>
      <c r="C42" s="1046"/>
      <c r="D42" s="1046"/>
      <c r="E42" s="1046"/>
      <c r="F42" s="1046"/>
      <c r="G42" s="1068"/>
      <c r="H42" s="1068"/>
      <c r="I42" s="1068"/>
      <c r="J42" s="1046"/>
      <c r="K42" s="1046"/>
      <c r="L42" s="1046"/>
      <c r="M42" s="1046"/>
      <c r="N42" s="1046"/>
      <c r="O42" s="1046"/>
    </row>
    <row r="43" spans="1:15" ht="15">
      <c r="A43" s="1046"/>
      <c r="B43" s="1046"/>
      <c r="C43" s="1046"/>
      <c r="D43" s="1046"/>
      <c r="E43" s="1046"/>
      <c r="F43" s="1046"/>
      <c r="G43" s="1068"/>
      <c r="H43" s="1068"/>
      <c r="I43" s="1068"/>
      <c r="J43" s="1046"/>
      <c r="K43" s="1046"/>
      <c r="L43" s="1046"/>
      <c r="M43" s="1046"/>
      <c r="N43" s="1046"/>
      <c r="O43" s="1046"/>
    </row>
    <row r="44" spans="1:15" ht="15">
      <c r="D44" s="1068"/>
      <c r="E44" s="1068"/>
      <c r="F44" s="1068"/>
      <c r="G44" s="1068"/>
      <c r="H44" s="1068"/>
      <c r="I44" s="1068"/>
      <c r="J44" s="1046"/>
      <c r="K44" s="1046"/>
      <c r="L44" s="1046"/>
      <c r="M44" s="1046"/>
      <c r="N44" s="1046"/>
      <c r="O44" s="1046"/>
    </row>
    <row r="45" spans="1:15" ht="15">
      <c r="D45" s="1068"/>
      <c r="E45" s="1068"/>
      <c r="F45" s="1068"/>
      <c r="G45" s="1068"/>
      <c r="H45" s="1068"/>
      <c r="I45" s="1068"/>
      <c r="J45" s="1046"/>
      <c r="K45" s="1046"/>
      <c r="L45" s="1046"/>
      <c r="M45" s="1046"/>
      <c r="N45" s="1046"/>
      <c r="O45" s="1046"/>
    </row>
    <row r="46" spans="1:15" ht="15">
      <c r="D46" s="1068"/>
      <c r="E46" s="1068"/>
      <c r="F46" s="1068"/>
      <c r="G46" s="1068"/>
      <c r="H46" s="1068"/>
      <c r="I46" s="1068"/>
      <c r="J46" s="1046"/>
      <c r="K46" s="1046"/>
      <c r="L46" s="1046"/>
      <c r="M46" s="1046"/>
      <c r="N46" s="1046"/>
      <c r="O46" s="1046"/>
    </row>
    <row r="47" spans="1:15" ht="15">
      <c r="J47" s="1046"/>
      <c r="K47" s="1046"/>
      <c r="L47" s="1046"/>
      <c r="M47" s="1046"/>
      <c r="N47" s="1046"/>
      <c r="O47" s="1046"/>
    </row>
  </sheetData>
  <mergeCells count="7">
    <mergeCell ref="B38:L39"/>
    <mergeCell ref="A7:L7"/>
    <mergeCell ref="R9:R10"/>
    <mergeCell ref="A24:I26"/>
    <mergeCell ref="B28:K30"/>
    <mergeCell ref="B32:H33"/>
    <mergeCell ref="B35:I36"/>
  </mergeCells>
  <pageMargins left="0.7" right="0.7" top="0.75" bottom="0.75" header="0.3" footer="0.3"/>
  <pageSetup scale="67"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O108"/>
  <sheetViews>
    <sheetView tabSelected="1" view="pageBreakPreview" topLeftCell="A19" zoomScale="85" zoomScaleNormal="75" zoomScaleSheetLayoutView="85" workbookViewId="0">
      <selection activeCell="O54" sqref="O54"/>
    </sheetView>
  </sheetViews>
  <sheetFormatPr defaultColWidth="11.42578125" defaultRowHeight="12.75"/>
  <cols>
    <col min="1" max="1" width="8.140625" style="299" customWidth="1"/>
    <col min="2" max="2" width="12.140625" style="298" customWidth="1"/>
    <col min="3" max="3" width="41.7109375" style="298" customWidth="1"/>
    <col min="4" max="4" width="30" style="298" customWidth="1"/>
    <col min="5" max="5" width="22.140625" style="298" customWidth="1"/>
    <col min="6" max="6" width="1" style="298" customWidth="1"/>
    <col min="7" max="7" width="20.85546875" style="298" customWidth="1"/>
    <col min="8" max="8" width="1" style="298" customWidth="1"/>
    <col min="9" max="9" width="19.140625" style="298" customWidth="1"/>
    <col min="10" max="10" width="16.7109375" style="298" customWidth="1"/>
    <col min="11" max="11" width="15.28515625" style="298" customWidth="1"/>
    <col min="12" max="12" width="34" style="298" customWidth="1"/>
    <col min="13" max="13" width="21.28515625" style="298" customWidth="1"/>
    <col min="14" max="14" width="13.42578125" style="298" customWidth="1"/>
    <col min="15" max="15" width="13.7109375" style="298" customWidth="1"/>
    <col min="16" max="16384" width="11.42578125" style="298"/>
  </cols>
  <sheetData>
    <row r="1" spans="1:15" ht="15.75">
      <c r="A1" s="738" t="s">
        <v>414</v>
      </c>
    </row>
    <row r="2" spans="1:15" ht="15.75">
      <c r="A2" s="738" t="s">
        <v>414</v>
      </c>
    </row>
    <row r="3" spans="1:15" ht="15">
      <c r="A3" s="1161" t="str">
        <f>TCOS!$F$5</f>
        <v>AEPTCo subsidiaries in PJM</v>
      </c>
      <c r="B3" s="1161" t="str">
        <f>TCOS!$F$5</f>
        <v>AEPTCo subsidiaries in PJM</v>
      </c>
      <c r="C3" s="1161" t="str">
        <f>TCOS!$F$5</f>
        <v>AEPTCo subsidiaries in PJM</v>
      </c>
      <c r="D3" s="1161" t="str">
        <f>TCOS!$F$5</f>
        <v>AEPTCo subsidiaries in PJM</v>
      </c>
      <c r="E3" s="1161" t="str">
        <f>TCOS!$F$5</f>
        <v>AEPTCo subsidiaries in PJM</v>
      </c>
      <c r="F3" s="1161" t="str">
        <f>TCOS!$F$5</f>
        <v>AEPTCo subsidiaries in PJM</v>
      </c>
      <c r="G3" s="1161" t="str">
        <f>TCOS!$F$5</f>
        <v>AEPTCo subsidiaries in PJM</v>
      </c>
      <c r="H3" s="1161" t="str">
        <f>TCOS!$F$5</f>
        <v>AEPTCo subsidiaries in PJM</v>
      </c>
      <c r="I3" s="1161" t="str">
        <f>TCOS!$F$5</f>
        <v>AEPTCo subsidiaries in PJM</v>
      </c>
      <c r="J3" s="1161" t="str">
        <f>TCOS!$F$5</f>
        <v>AEPTCo subsidiaries in PJM</v>
      </c>
      <c r="K3" s="1161" t="str">
        <f>TCOS!$F$5</f>
        <v>AEPTCo subsidiaries in PJM</v>
      </c>
      <c r="L3" s="1161" t="str">
        <f>TCOS!$F$5</f>
        <v>AEPTCo subsidiaries in PJM</v>
      </c>
      <c r="M3" s="17"/>
      <c r="N3" s="17"/>
      <c r="O3" s="17"/>
    </row>
    <row r="4" spans="1:15" ht="15">
      <c r="A4" s="1162" t="str">
        <f>"Cost of Service Formula Rate Using Actual/Projected FF1 Balances"</f>
        <v>Cost of Service Formula Rate Using Actual/Projected FF1 Balances</v>
      </c>
      <c r="B4" s="1162"/>
      <c r="C4" s="1162"/>
      <c r="D4" s="1162"/>
      <c r="E4" s="1162"/>
      <c r="F4" s="1162"/>
      <c r="G4" s="1162"/>
      <c r="H4" s="1162"/>
      <c r="I4" s="1162"/>
      <c r="J4" s="1162"/>
      <c r="K4" s="1162"/>
      <c r="L4" s="1162"/>
      <c r="M4" s="45"/>
      <c r="N4" s="45"/>
      <c r="O4" s="45"/>
    </row>
    <row r="5" spans="1:15" ht="15">
      <c r="A5" s="1162" t="s">
        <v>291</v>
      </c>
      <c r="B5" s="1162"/>
      <c r="C5" s="1162"/>
      <c r="D5" s="1162"/>
      <c r="E5" s="1162"/>
      <c r="F5" s="1162"/>
      <c r="G5" s="1162"/>
      <c r="H5" s="1162"/>
      <c r="I5" s="1162"/>
      <c r="J5" s="1162"/>
      <c r="K5" s="1162"/>
      <c r="L5" s="1162"/>
      <c r="M5" s="44"/>
      <c r="N5" s="44"/>
      <c r="O5" s="44"/>
    </row>
    <row r="6" spans="1:15" ht="15">
      <c r="A6" s="1173" t="str">
        <f>TCOS!F9</f>
        <v>AEP Indiana Michigan Transmission Company</v>
      </c>
      <c r="B6" s="1173"/>
      <c r="C6" s="1173"/>
      <c r="D6" s="1173"/>
      <c r="E6" s="1173"/>
      <c r="F6" s="1173"/>
      <c r="G6" s="1173"/>
      <c r="H6" s="1173"/>
      <c r="I6" s="1173"/>
      <c r="J6" s="1173"/>
      <c r="K6" s="1173"/>
      <c r="L6" s="1173"/>
      <c r="M6" s="2"/>
      <c r="N6" s="2"/>
      <c r="O6" s="2"/>
    </row>
    <row r="7" spans="1:15" ht="15">
      <c r="A7" s="2"/>
      <c r="B7" s="2"/>
      <c r="C7" s="2"/>
      <c r="D7" s="2"/>
      <c r="E7" s="2"/>
      <c r="F7" s="2"/>
      <c r="G7" s="2"/>
      <c r="H7"/>
    </row>
    <row r="8" spans="1:15" ht="12.75" customHeight="1">
      <c r="A8" s="309"/>
      <c r="B8" s="309" t="s">
        <v>460</v>
      </c>
      <c r="C8" s="309" t="s">
        <v>461</v>
      </c>
      <c r="D8" s="309" t="s">
        <v>331</v>
      </c>
      <c r="E8" s="309" t="s">
        <v>463</v>
      </c>
      <c r="F8" s="309"/>
      <c r="G8" s="309" t="s">
        <v>383</v>
      </c>
      <c r="H8" s="309"/>
      <c r="I8" s="309" t="s">
        <v>384</v>
      </c>
      <c r="J8" s="309" t="s">
        <v>385</v>
      </c>
      <c r="K8" s="309" t="s">
        <v>390</v>
      </c>
      <c r="L8" s="309" t="s">
        <v>296</v>
      </c>
      <c r="M8" s="309"/>
      <c r="N8" s="309"/>
      <c r="O8" s="309"/>
    </row>
    <row r="9" spans="1:15">
      <c r="A9" s="307"/>
    </row>
    <row r="10" spans="1:15" ht="18">
      <c r="A10" s="302"/>
      <c r="B10" s="1190" t="s">
        <v>497</v>
      </c>
      <c r="C10" s="1190"/>
      <c r="D10" s="1190"/>
      <c r="E10" s="1190"/>
      <c r="F10" s="1190"/>
      <c r="G10" s="1190"/>
      <c r="H10" s="1190"/>
      <c r="I10" s="1190"/>
      <c r="J10" s="1190"/>
      <c r="K10" s="1190"/>
    </row>
    <row r="11" spans="1:15">
      <c r="A11" s="302"/>
      <c r="I11"/>
      <c r="J11"/>
    </row>
    <row r="12" spans="1:15" ht="12.75" customHeight="1">
      <c r="A12" s="300" t="s">
        <v>467</v>
      </c>
      <c r="B12" s="302"/>
      <c r="C12" s="310"/>
      <c r="D12" s="311"/>
      <c r="E12" s="1192" t="str">
        <f>"Balance @ December 31, "&amp;TCOS!L4&amp;""</f>
        <v>Balance @ December 31, 2025</v>
      </c>
      <c r="F12" s="311"/>
      <c r="G12" s="1192" t="str">
        <f>"Balance @ December 31, "&amp;TCOS!L4-1&amp;""</f>
        <v>Balance @ December 31, 2024</v>
      </c>
      <c r="H12" s="312"/>
      <c r="I12" s="1194" t="str">
        <f>"Average Balance for "&amp;TCOS!L4&amp;""</f>
        <v>Average Balance for 2025</v>
      </c>
      <c r="J12" s="3"/>
      <c r="L12" s="309"/>
    </row>
    <row r="13" spans="1:15">
      <c r="A13" s="300" t="s">
        <v>405</v>
      </c>
      <c r="B13" s="299"/>
      <c r="C13" s="302"/>
      <c r="D13" s="313" t="s">
        <v>496</v>
      </c>
      <c r="E13" s="1193"/>
      <c r="F13" s="314"/>
      <c r="G13" s="1193"/>
      <c r="H13" s="315"/>
      <c r="I13" s="1193"/>
      <c r="J13" s="3"/>
      <c r="K13" s="316"/>
      <c r="L13" s="317"/>
      <c r="M13" s="301"/>
      <c r="N13" s="301"/>
    </row>
    <row r="14" spans="1:15">
      <c r="B14" s="299"/>
      <c r="C14" s="302"/>
      <c r="D14" s="318"/>
      <c r="E14" s="306"/>
      <c r="F14" s="306"/>
      <c r="G14" s="319"/>
      <c r="H14" s="305"/>
      <c r="J14"/>
      <c r="K14" s="316"/>
      <c r="L14" s="317"/>
      <c r="M14" s="301"/>
      <c r="N14" s="301"/>
    </row>
    <row r="15" spans="1:15">
      <c r="A15" s="299">
        <v>1</v>
      </c>
      <c r="B15" s="299"/>
      <c r="D15" s="36"/>
      <c r="E15" s="7"/>
      <c r="F15" s="306"/>
      <c r="G15" s="7"/>
      <c r="H15" s="7"/>
      <c r="I15" s="7"/>
      <c r="K15" s="7"/>
      <c r="L15" s="7"/>
      <c r="M15" s="301"/>
      <c r="N15" s="301"/>
    </row>
    <row r="16" spans="1:15">
      <c r="B16" s="299"/>
      <c r="C16" s="36"/>
      <c r="D16" s="36"/>
      <c r="E16" s="7"/>
      <c r="F16" s="306"/>
      <c r="G16" s="7"/>
      <c r="H16" s="7"/>
      <c r="I16" s="7"/>
      <c r="K16" s="7"/>
      <c r="L16" s="7"/>
      <c r="M16" s="301"/>
      <c r="N16" s="301"/>
    </row>
    <row r="17" spans="1:14">
      <c r="A17" s="299">
        <f>+A15+1</f>
        <v>2</v>
      </c>
      <c r="B17" s="299"/>
      <c r="C17" s="36" t="s">
        <v>324</v>
      </c>
      <c r="D17" s="303" t="s">
        <v>218</v>
      </c>
      <c r="E17" s="967">
        <v>4</v>
      </c>
      <c r="F17" s="306"/>
      <c r="G17" s="967">
        <v>18</v>
      </c>
      <c r="H17" s="7"/>
      <c r="I17" s="304">
        <f>IF(G17="",0,(E17+G17)/2)</f>
        <v>11</v>
      </c>
      <c r="J17"/>
      <c r="K17" s="304"/>
      <c r="L17" s="7"/>
      <c r="M17" s="301"/>
      <c r="N17" s="301"/>
    </row>
    <row r="18" spans="1:14">
      <c r="B18" s="299"/>
      <c r="C18" s="36"/>
      <c r="D18"/>
      <c r="E18"/>
      <c r="F18"/>
      <c r="G18"/>
      <c r="H18"/>
      <c r="I18" s="3"/>
      <c r="J18"/>
      <c r="K18"/>
      <c r="L18" s="7"/>
      <c r="M18" s="301"/>
      <c r="N18" s="301"/>
    </row>
    <row r="19" spans="1:14">
      <c r="A19" s="1117" t="s">
        <v>907</v>
      </c>
      <c r="B19" s="1117"/>
      <c r="C19" s="1118" t="s">
        <v>1035</v>
      </c>
      <c r="D19" s="1119" t="s">
        <v>1036</v>
      </c>
      <c r="E19" s="353"/>
      <c r="F19" s="1120"/>
      <c r="G19" s="353"/>
      <c r="H19" s="1121"/>
      <c r="I19" s="304">
        <f>IF(G19="",0,(E19+G19)/2)</f>
        <v>0</v>
      </c>
      <c r="J19"/>
      <c r="K19"/>
      <c r="L19" s="7"/>
      <c r="M19" s="301"/>
      <c r="N19" s="301"/>
    </row>
    <row r="20" spans="1:14">
      <c r="B20" s="299"/>
      <c r="C20" s="36"/>
      <c r="D20"/>
      <c r="E20"/>
      <c r="F20"/>
      <c r="G20"/>
      <c r="H20"/>
      <c r="I20" s="3"/>
      <c r="J20"/>
      <c r="K20"/>
      <c r="L20" s="7"/>
      <c r="M20" s="301"/>
      <c r="N20" s="301"/>
    </row>
    <row r="21" spans="1:14">
      <c r="A21" s="299">
        <f>+A17+1</f>
        <v>3</v>
      </c>
      <c r="B21" s="299"/>
      <c r="C21" s="36" t="s">
        <v>325</v>
      </c>
      <c r="D21" s="303" t="s">
        <v>219</v>
      </c>
      <c r="E21" s="353"/>
      <c r="F21" s="306"/>
      <c r="G21" s="353"/>
      <c r="H21" s="305"/>
      <c r="I21" s="304">
        <f>IF(G21="",0,(E21+G21)/2)</f>
        <v>0</v>
      </c>
      <c r="J21"/>
      <c r="K21" s="316"/>
      <c r="L21" s="317"/>
      <c r="M21" s="301"/>
      <c r="N21" s="301"/>
    </row>
    <row r="22" spans="1:14">
      <c r="B22" s="299"/>
      <c r="C22" s="36"/>
      <c r="D22" s="303"/>
      <c r="E22"/>
      <c r="F22"/>
      <c r="G22"/>
      <c r="H22"/>
      <c r="I22"/>
      <c r="J22"/>
      <c r="K22" s="316"/>
      <c r="L22" s="317"/>
      <c r="M22" s="301"/>
      <c r="N22" s="301"/>
    </row>
    <row r="23" spans="1:14">
      <c r="A23" s="299">
        <f>+A21+1</f>
        <v>4</v>
      </c>
      <c r="B23" s="299"/>
      <c r="C23" s="36" t="s">
        <v>766</v>
      </c>
      <c r="D23" s="303" t="s">
        <v>220</v>
      </c>
      <c r="E23" s="353"/>
      <c r="F23" s="306"/>
      <c r="G23" s="353"/>
      <c r="H23" s="305"/>
      <c r="I23" s="304">
        <f>IF(G23="",0,(E23+G23)/2)</f>
        <v>0</v>
      </c>
      <c r="J23"/>
      <c r="K23" s="316"/>
      <c r="L23" s="317"/>
      <c r="M23" s="301"/>
      <c r="N23" s="301"/>
    </row>
    <row r="24" spans="1:14">
      <c r="B24" s="299"/>
      <c r="C24" s="302"/>
      <c r="D24" s="318"/>
      <c r="E24" s="306"/>
      <c r="F24" s="306"/>
      <c r="H24" s="305"/>
      <c r="J24"/>
      <c r="K24" s="316"/>
      <c r="L24" s="317"/>
      <c r="M24" s="301"/>
      <c r="N24" s="301"/>
    </row>
    <row r="25" spans="1:14">
      <c r="A25" s="320"/>
      <c r="B25" s="320"/>
      <c r="C25" s="321"/>
      <c r="D25" s="322"/>
      <c r="E25" s="323"/>
      <c r="F25" s="323"/>
      <c r="G25" s="324"/>
      <c r="H25" s="325"/>
      <c r="I25" s="324"/>
      <c r="J25" s="326"/>
      <c r="K25" s="327"/>
      <c r="L25" s="328"/>
      <c r="M25" s="301"/>
      <c r="N25" s="301"/>
    </row>
    <row r="26" spans="1:14" ht="18">
      <c r="B26" s="1190" t="s">
        <v>767</v>
      </c>
      <c r="C26" s="1190"/>
      <c r="D26" s="1190"/>
      <c r="E26" s="1190"/>
      <c r="F26" s="1190"/>
      <c r="G26" s="1190"/>
      <c r="H26" s="1190"/>
      <c r="I26" s="1190"/>
      <c r="J26" s="1190"/>
      <c r="K26" s="1190"/>
      <c r="L26" s="317"/>
      <c r="M26" s="301"/>
      <c r="N26" s="301"/>
    </row>
    <row r="27" spans="1:14" ht="12.75" customHeight="1">
      <c r="B27" s="329"/>
      <c r="C27" s="302"/>
      <c r="D27" s="7"/>
      <c r="E27" s="330"/>
      <c r="G27" s="330" t="s">
        <v>386</v>
      </c>
      <c r="I27" s="4" t="s">
        <v>415</v>
      </c>
      <c r="J27" s="4" t="s">
        <v>415</v>
      </c>
      <c r="K27" s="4" t="s">
        <v>477</v>
      </c>
      <c r="L27" s="317"/>
      <c r="M27" s="301"/>
      <c r="N27" s="301"/>
    </row>
    <row r="28" spans="1:14" ht="12.75" customHeight="1">
      <c r="B28" s="329"/>
      <c r="C28" s="302"/>
      <c r="D28" s="331" t="s">
        <v>297</v>
      </c>
      <c r="E28" s="4" t="s">
        <v>327</v>
      </c>
      <c r="G28" s="4" t="s">
        <v>415</v>
      </c>
      <c r="I28" s="4" t="s">
        <v>317</v>
      </c>
      <c r="J28" s="4" t="s">
        <v>459</v>
      </c>
      <c r="K28" s="4" t="s">
        <v>478</v>
      </c>
      <c r="L28" s="317"/>
      <c r="M28" s="301"/>
      <c r="N28" s="301"/>
    </row>
    <row r="29" spans="1:14" ht="12.75" customHeight="1">
      <c r="A29" s="299">
        <f>+A23+1</f>
        <v>5</v>
      </c>
      <c r="B29" s="329"/>
      <c r="C29" s="302"/>
      <c r="D29" s="300" t="s">
        <v>387</v>
      </c>
      <c r="E29" s="300" t="s">
        <v>298</v>
      </c>
      <c r="G29" s="300" t="s">
        <v>318</v>
      </c>
      <c r="I29" s="300" t="s">
        <v>318</v>
      </c>
      <c r="J29" s="300" t="s">
        <v>318</v>
      </c>
      <c r="K29" s="300" t="s">
        <v>319</v>
      </c>
      <c r="L29" s="317"/>
      <c r="M29" s="301"/>
      <c r="N29" s="301"/>
    </row>
    <row r="30" spans="1:14">
      <c r="B30" s="299"/>
      <c r="C30" s="302"/>
      <c r="D30" s="318"/>
      <c r="E30" s="306"/>
      <c r="F30" s="306"/>
      <c r="H30" s="305"/>
      <c r="J30"/>
      <c r="K30" s="332"/>
      <c r="L30" s="317"/>
      <c r="M30" s="301"/>
      <c r="N30" s="301"/>
    </row>
    <row r="31" spans="1:14">
      <c r="A31" s="299">
        <f>+A29+1</f>
        <v>6</v>
      </c>
      <c r="B31" s="299"/>
      <c r="C31" s="298" t="str">
        <f>"Totals as of December 31, "&amp;TCOS!L4&amp;""</f>
        <v>Totals as of December 31, 2025</v>
      </c>
      <c r="D31" s="333">
        <f>ROUND(D58,0)</f>
        <v>1492484</v>
      </c>
      <c r="E31" s="334">
        <f>ROUND(E58,0)</f>
        <v>0</v>
      </c>
      <c r="F31" s="335"/>
      <c r="G31" s="333">
        <f>ROUND(G58,0)</f>
        <v>0</v>
      </c>
      <c r="H31" s="305"/>
      <c r="I31" s="333">
        <f>ROUND(I58,0)</f>
        <v>1492484</v>
      </c>
      <c r="J31" s="336">
        <f>+J58</f>
        <v>0</v>
      </c>
      <c r="K31" s="333">
        <f>ROUND(K58,0)</f>
        <v>1492484</v>
      </c>
      <c r="L31" s="317"/>
      <c r="M31" s="301"/>
      <c r="N31" s="301"/>
    </row>
    <row r="32" spans="1:14">
      <c r="A32" s="299">
        <f>+A31+1</f>
        <v>7</v>
      </c>
      <c r="B32" s="299"/>
      <c r="C32" s="298" t="str">
        <f>"Totals as of December 31, "&amp;(TCOS!L4-1)&amp;""</f>
        <v>Totals as of December 31, 2024</v>
      </c>
      <c r="D32" s="337">
        <f>ROUND(D82,0)</f>
        <v>852677</v>
      </c>
      <c r="E32" s="338">
        <f>ROUND(E82,0)</f>
        <v>0</v>
      </c>
      <c r="F32" s="306"/>
      <c r="G32" s="337">
        <f>ROUND(G82,0)</f>
        <v>0</v>
      </c>
      <c r="H32" s="305"/>
      <c r="I32" s="337">
        <f>ROUND(I82,0)</f>
        <v>852677</v>
      </c>
      <c r="J32" s="337">
        <f>+J82</f>
        <v>0</v>
      </c>
      <c r="K32" s="337">
        <f>ROUND(K82,0)</f>
        <v>852677</v>
      </c>
      <c r="L32" s="317"/>
      <c r="M32" s="301"/>
      <c r="N32" s="301"/>
    </row>
    <row r="33" spans="1:14" ht="13.5" thickBot="1">
      <c r="A33" s="299">
        <f>+A32+1</f>
        <v>8</v>
      </c>
      <c r="B33" s="299"/>
      <c r="C33" s="310" t="s">
        <v>503</v>
      </c>
      <c r="D33" s="339">
        <f>IF(D32="",0,(D31+D32)/2)</f>
        <v>1172580.5</v>
      </c>
      <c r="E33" s="339">
        <f>IF(E32="",0,(E31+E32)/2)</f>
        <v>0</v>
      </c>
      <c r="F33" s="340"/>
      <c r="G33" s="339">
        <f>IF(G32="",0,(G31+G32)/2)</f>
        <v>0</v>
      </c>
      <c r="H33" s="341"/>
      <c r="I33" s="339">
        <f>IF(I32="",0,(I31+I32)/2)</f>
        <v>1172580.5</v>
      </c>
      <c r="J33" s="339">
        <f>IF(J32="",0,(J31+J32)/2)</f>
        <v>0</v>
      </c>
      <c r="K33" s="339">
        <f>IF(K32="",0,(K31+K32)/2)</f>
        <v>1172580.5</v>
      </c>
      <c r="L33" s="317"/>
      <c r="M33" s="301"/>
      <c r="N33" s="301"/>
    </row>
    <row r="34" spans="1:14" ht="13.5" thickTop="1">
      <c r="B34" s="299"/>
      <c r="D34" s="318"/>
      <c r="E34" s="306"/>
      <c r="F34" s="306"/>
      <c r="H34" s="305"/>
      <c r="J34"/>
      <c r="K34" s="316"/>
      <c r="L34" s="317"/>
      <c r="M34" s="301"/>
      <c r="N34" s="301"/>
    </row>
    <row r="35" spans="1:14">
      <c r="A35" s="298"/>
      <c r="J35"/>
      <c r="K35" s="316"/>
      <c r="L35" s="317"/>
      <c r="M35" s="301"/>
      <c r="N35" s="301"/>
    </row>
    <row r="36" spans="1:14" ht="18">
      <c r="B36" s="1191" t="str">
        <f>"Prepayments Account 165 - Balance @ 12/31/"&amp;D38&amp;""</f>
        <v>Prepayments Account 165 - Balance @ 12/31/2025</v>
      </c>
      <c r="C36" s="1195"/>
      <c r="D36" s="1195"/>
      <c r="E36" s="1195"/>
      <c r="F36" s="1195"/>
      <c r="G36" s="1195"/>
      <c r="H36" s="1195"/>
      <c r="I36" s="1195"/>
      <c r="J36" s="1195"/>
      <c r="K36" s="316"/>
      <c r="L36" s="317"/>
      <c r="M36" s="301"/>
      <c r="N36" s="301"/>
    </row>
    <row r="37" spans="1:14">
      <c r="B37" s="75"/>
      <c r="C37" s="76"/>
      <c r="D37" s="7"/>
      <c r="E37" s="330"/>
      <c r="G37" s="330" t="s">
        <v>386</v>
      </c>
      <c r="I37" s="4" t="s">
        <v>415</v>
      </c>
      <c r="J37" s="4" t="s">
        <v>415</v>
      </c>
      <c r="K37" s="4" t="s">
        <v>477</v>
      </c>
      <c r="L37"/>
      <c r="M37" s="301"/>
      <c r="N37" s="301"/>
    </row>
    <row r="38" spans="1:14">
      <c r="B38" s="75"/>
      <c r="C38" s="342"/>
      <c r="D38" s="331" t="str">
        <f>""&amp;TCOS!L4</f>
        <v>2025</v>
      </c>
      <c r="E38" s="4" t="s">
        <v>327</v>
      </c>
      <c r="G38" s="4" t="s">
        <v>415</v>
      </c>
      <c r="I38" s="4" t="s">
        <v>317</v>
      </c>
      <c r="J38" s="4" t="s">
        <v>459</v>
      </c>
      <c r="K38" s="4" t="s">
        <v>478</v>
      </c>
      <c r="L38"/>
      <c r="M38" s="301"/>
      <c r="N38" s="301"/>
    </row>
    <row r="39" spans="1:14">
      <c r="A39" s="299">
        <f>+A33+1</f>
        <v>9</v>
      </c>
      <c r="B39" s="300" t="s">
        <v>389</v>
      </c>
      <c r="C39" s="300" t="s">
        <v>465</v>
      </c>
      <c r="D39" s="300" t="s">
        <v>387</v>
      </c>
      <c r="E39" s="300" t="s">
        <v>298</v>
      </c>
      <c r="G39" s="300" t="s">
        <v>318</v>
      </c>
      <c r="I39" s="300" t="s">
        <v>318</v>
      </c>
      <c r="J39" s="300" t="s">
        <v>318</v>
      </c>
      <c r="K39" s="300" t="s">
        <v>319</v>
      </c>
      <c r="L39" s="300" t="s">
        <v>371</v>
      </c>
      <c r="M39" s="301"/>
      <c r="N39" s="301"/>
    </row>
    <row r="40" spans="1:14">
      <c r="B40" s="75"/>
      <c r="C40" s="76"/>
      <c r="D40" s="76"/>
      <c r="E40" s="76"/>
      <c r="G40" s="76"/>
      <c r="I40" s="76"/>
      <c r="J40" s="76"/>
      <c r="K40" s="332"/>
      <c r="L40"/>
      <c r="M40" s="301"/>
      <c r="N40" s="301"/>
    </row>
    <row r="41" spans="1:14" ht="14.25">
      <c r="A41" s="299">
        <f>+A39+1</f>
        <v>10</v>
      </c>
      <c r="B41" s="972" t="s">
        <v>990</v>
      </c>
      <c r="C41" s="973" t="s">
        <v>802</v>
      </c>
      <c r="D41" s="974">
        <v>1447572.1669999999</v>
      </c>
      <c r="E41" s="975">
        <f t="shared" ref="E41:E43" si="0">+D41-K41</f>
        <v>0</v>
      </c>
      <c r="G41" s="976"/>
      <c r="I41" s="976">
        <f t="shared" ref="I41:I46" si="1">+D41</f>
        <v>1447572.1669999999</v>
      </c>
      <c r="J41" s="976"/>
      <c r="K41" s="976">
        <f>+G41+I41+J41</f>
        <v>1447572.1669999999</v>
      </c>
      <c r="L41"/>
      <c r="M41" s="301"/>
      <c r="N41" s="301"/>
    </row>
    <row r="42" spans="1:14" ht="14.25">
      <c r="A42" s="299">
        <f>+A41+1</f>
        <v>11</v>
      </c>
      <c r="B42" s="972" t="s">
        <v>991</v>
      </c>
      <c r="C42" s="977" t="s">
        <v>992</v>
      </c>
      <c r="D42" s="974">
        <v>0</v>
      </c>
      <c r="E42" s="975">
        <f t="shared" si="0"/>
        <v>0</v>
      </c>
      <c r="G42" s="976"/>
      <c r="I42" s="976">
        <f t="shared" si="1"/>
        <v>0</v>
      </c>
      <c r="J42" s="976"/>
      <c r="K42" s="976">
        <f t="shared" ref="K42:K43" si="2">+G42+I42+J42</f>
        <v>0</v>
      </c>
      <c r="L42"/>
      <c r="M42" s="301"/>
      <c r="N42" s="301"/>
    </row>
    <row r="43" spans="1:14" ht="14.25">
      <c r="A43" s="299">
        <f t="shared" ref="A43:A45" si="3">+A42+1</f>
        <v>12</v>
      </c>
      <c r="B43" s="972" t="s">
        <v>1000</v>
      </c>
      <c r="C43" s="977" t="s">
        <v>992</v>
      </c>
      <c r="D43" s="974">
        <v>0</v>
      </c>
      <c r="E43" s="975">
        <f t="shared" si="0"/>
        <v>0</v>
      </c>
      <c r="G43" s="976"/>
      <c r="I43" s="976">
        <f t="shared" si="1"/>
        <v>0</v>
      </c>
      <c r="J43" s="976"/>
      <c r="K43" s="976">
        <f t="shared" si="2"/>
        <v>0</v>
      </c>
      <c r="L43"/>
      <c r="M43" s="301"/>
      <c r="N43" s="301"/>
    </row>
    <row r="44" spans="1:14" ht="14.25">
      <c r="A44" s="299">
        <f t="shared" si="3"/>
        <v>13</v>
      </c>
      <c r="B44" s="972">
        <v>165001225</v>
      </c>
      <c r="C44" s="977" t="s">
        <v>992</v>
      </c>
      <c r="D44" s="974">
        <v>33949.24</v>
      </c>
      <c r="E44" s="975">
        <f t="shared" ref="E44" si="4">+D44-K44</f>
        <v>0</v>
      </c>
      <c r="G44" s="976"/>
      <c r="I44" s="976">
        <f t="shared" si="1"/>
        <v>33949.24</v>
      </c>
      <c r="J44" s="976"/>
      <c r="K44" s="976">
        <f t="shared" ref="K44" si="5">+G44+I44+J44</f>
        <v>33949.24</v>
      </c>
      <c r="L44"/>
      <c r="M44" s="301"/>
      <c r="N44" s="301"/>
    </row>
    <row r="45" spans="1:14" ht="14.25">
      <c r="A45" s="299">
        <f t="shared" si="3"/>
        <v>14</v>
      </c>
      <c r="B45" s="972" t="s">
        <v>993</v>
      </c>
      <c r="C45" s="977" t="s">
        <v>803</v>
      </c>
      <c r="D45" s="974">
        <v>-40588.29</v>
      </c>
      <c r="E45" s="975"/>
      <c r="G45" s="976"/>
      <c r="I45" s="976">
        <f t="shared" si="1"/>
        <v>-40588.29</v>
      </c>
      <c r="J45" s="976"/>
      <c r="K45" s="976">
        <f t="shared" ref="K45" si="6">+G45+I45+J45</f>
        <v>-40588.29</v>
      </c>
      <c r="L45"/>
      <c r="M45" s="301"/>
      <c r="N45" s="301"/>
    </row>
    <row r="46" spans="1:14" ht="14.25">
      <c r="A46" s="299">
        <f t="shared" ref="A46:A57" si="7">+A45+1</f>
        <v>15</v>
      </c>
      <c r="B46" s="972" t="s">
        <v>994</v>
      </c>
      <c r="C46" s="977" t="s">
        <v>804</v>
      </c>
      <c r="D46" s="974">
        <v>51550.74</v>
      </c>
      <c r="E46" s="975"/>
      <c r="G46" s="976"/>
      <c r="I46" s="976">
        <f t="shared" si="1"/>
        <v>51550.74</v>
      </c>
      <c r="J46" s="976"/>
      <c r="K46" s="976">
        <f t="shared" ref="K46" si="8">+G46+I46+J46</f>
        <v>51550.74</v>
      </c>
      <c r="L46"/>
      <c r="M46" s="301"/>
      <c r="N46" s="301"/>
    </row>
    <row r="47" spans="1:14" ht="14.25">
      <c r="A47" s="299">
        <f t="shared" si="7"/>
        <v>16</v>
      </c>
      <c r="B47" s="972"/>
      <c r="C47" s="977"/>
      <c r="D47" s="974"/>
      <c r="E47" s="975"/>
      <c r="G47" s="976"/>
      <c r="I47" s="976"/>
      <c r="J47" s="976"/>
      <c r="K47" s="976"/>
      <c r="L47"/>
      <c r="M47" s="301"/>
      <c r="N47" s="301"/>
    </row>
    <row r="48" spans="1:14" ht="14.25">
      <c r="A48" s="299">
        <f t="shared" si="7"/>
        <v>17</v>
      </c>
      <c r="B48" s="972"/>
      <c r="C48" s="977"/>
      <c r="D48" s="974"/>
      <c r="E48" s="975"/>
      <c r="G48" s="866"/>
      <c r="I48" s="976"/>
      <c r="J48" s="866"/>
      <c r="K48" s="866"/>
      <c r="L48"/>
      <c r="M48" s="301"/>
      <c r="N48" s="301"/>
    </row>
    <row r="49" spans="1:15" ht="14.25">
      <c r="A49" s="299">
        <f t="shared" si="7"/>
        <v>18</v>
      </c>
      <c r="B49" s="972"/>
      <c r="C49" s="977"/>
      <c r="D49" s="974"/>
      <c r="E49" s="975"/>
      <c r="G49" s="976"/>
      <c r="I49" s="976"/>
      <c r="J49" s="976"/>
      <c r="K49" s="866"/>
      <c r="L49" s="3"/>
      <c r="M49" s="301"/>
      <c r="N49" s="301"/>
    </row>
    <row r="50" spans="1:15" ht="14.25">
      <c r="A50" s="299">
        <f t="shared" si="7"/>
        <v>19</v>
      </c>
      <c r="B50" s="972"/>
      <c r="C50" s="977"/>
      <c r="D50" s="974"/>
      <c r="E50" s="975"/>
      <c r="G50" s="976"/>
      <c r="I50" s="976"/>
      <c r="J50" s="976"/>
      <c r="K50" s="866"/>
      <c r="L50"/>
      <c r="M50" s="301"/>
      <c r="N50" s="301"/>
    </row>
    <row r="51" spans="1:15" ht="14.25">
      <c r="A51" s="299">
        <f t="shared" si="7"/>
        <v>20</v>
      </c>
      <c r="B51" s="972"/>
      <c r="C51" s="977"/>
      <c r="D51" s="974"/>
      <c r="E51" s="975"/>
      <c r="G51" s="976"/>
      <c r="I51" s="976"/>
      <c r="J51" s="976"/>
      <c r="K51" s="866"/>
      <c r="L51"/>
      <c r="M51" s="301"/>
      <c r="N51" s="301"/>
    </row>
    <row r="52" spans="1:15" ht="14.25">
      <c r="A52" s="299">
        <f t="shared" si="7"/>
        <v>21</v>
      </c>
      <c r="B52" s="972"/>
      <c r="C52" s="977"/>
      <c r="D52" s="974"/>
      <c r="E52" s="975"/>
      <c r="G52" s="976"/>
      <c r="I52" s="976"/>
      <c r="J52" s="866"/>
      <c r="K52" s="866"/>
      <c r="L52"/>
      <c r="M52" s="301"/>
      <c r="N52" s="301"/>
    </row>
    <row r="53" spans="1:15" ht="14.25">
      <c r="A53" s="299">
        <f t="shared" si="7"/>
        <v>22</v>
      </c>
      <c r="B53" s="972"/>
      <c r="C53" s="977"/>
      <c r="D53" s="974"/>
      <c r="E53" s="975"/>
      <c r="G53" s="976"/>
      <c r="I53" s="976"/>
      <c r="J53" s="866"/>
      <c r="K53" s="866"/>
      <c r="L53"/>
      <c r="M53" s="301"/>
      <c r="N53" s="301"/>
    </row>
    <row r="54" spans="1:15" ht="14.25">
      <c r="A54" s="299">
        <f t="shared" si="7"/>
        <v>23</v>
      </c>
      <c r="B54" s="972"/>
      <c r="C54" s="977"/>
      <c r="D54" s="974"/>
      <c r="E54" s="975"/>
      <c r="G54" s="976"/>
      <c r="I54" s="976"/>
      <c r="J54" s="866"/>
      <c r="K54" s="866"/>
      <c r="L54"/>
      <c r="M54" s="301"/>
      <c r="N54" s="301"/>
    </row>
    <row r="55" spans="1:15" ht="14.25">
      <c r="A55" s="299">
        <f t="shared" si="7"/>
        <v>24</v>
      </c>
      <c r="B55" s="972"/>
      <c r="C55" s="977"/>
      <c r="D55" s="974"/>
      <c r="E55" s="975"/>
      <c r="G55" s="976"/>
      <c r="I55" s="976"/>
      <c r="J55" s="866"/>
      <c r="K55" s="866"/>
      <c r="L55"/>
      <c r="M55" s="301"/>
      <c r="N55" s="301"/>
    </row>
    <row r="56" spans="1:15" ht="14.25">
      <c r="A56" s="299">
        <f t="shared" si="7"/>
        <v>25</v>
      </c>
      <c r="B56" s="972"/>
      <c r="C56" s="977"/>
      <c r="D56" s="974"/>
      <c r="E56" s="975"/>
      <c r="G56" s="976"/>
      <c r="I56" s="976"/>
      <c r="J56" s="866"/>
      <c r="K56" s="866"/>
      <c r="L56"/>
      <c r="M56" s="301"/>
      <c r="N56" s="301"/>
    </row>
    <row r="57" spans="1:15" ht="15" thickBot="1">
      <c r="A57" s="299">
        <f t="shared" si="7"/>
        <v>26</v>
      </c>
      <c r="B57" s="706"/>
      <c r="C57" s="707"/>
      <c r="D57" s="730"/>
      <c r="E57" s="343"/>
      <c r="G57" s="344"/>
      <c r="I57" s="344"/>
      <c r="J57" s="344"/>
      <c r="K57" s="345"/>
      <c r="L57"/>
      <c r="M57" s="301"/>
      <c r="N57" s="301"/>
    </row>
    <row r="58" spans="1:15">
      <c r="B58" s="75"/>
      <c r="C58" s="346" t="s">
        <v>299</v>
      </c>
      <c r="D58" s="347">
        <f>SUM(D41:D57)</f>
        <v>1492483.8569999998</v>
      </c>
      <c r="E58" s="348">
        <f>SUM(E41:E57)</f>
        <v>0</v>
      </c>
      <c r="G58" s="347">
        <f>SUM(G41:G57)</f>
        <v>0</v>
      </c>
      <c r="I58" s="347">
        <f>SUM(I41:I57)</f>
        <v>1492483.8569999998</v>
      </c>
      <c r="J58" s="347">
        <f>SUM(J41:J57)</f>
        <v>0</v>
      </c>
      <c r="K58" s="347">
        <f>SUM(K41:K57)</f>
        <v>1492483.8569999998</v>
      </c>
      <c r="L58"/>
      <c r="M58" s="301"/>
      <c r="N58" s="301"/>
    </row>
    <row r="59" spans="1:15">
      <c r="D59" s="349" t="s">
        <v>414</v>
      </c>
      <c r="K59" s="36"/>
      <c r="L59"/>
      <c r="M59" s="301"/>
      <c r="N59" s="301"/>
    </row>
    <row r="60" spans="1:15">
      <c r="B60"/>
      <c r="C60"/>
      <c r="D60"/>
      <c r="E60"/>
      <c r="F60"/>
      <c r="G60"/>
      <c r="H60"/>
      <c r="I60"/>
      <c r="J60"/>
      <c r="K60"/>
      <c r="L60"/>
      <c r="M60" s="301"/>
      <c r="N60" s="301"/>
      <c r="O60"/>
    </row>
    <row r="61" spans="1:15" ht="18">
      <c r="B61" s="1191" t="str">
        <f>"Prepayments Account 165 - Balance @ 12/31/ "&amp;D63&amp;""</f>
        <v>Prepayments Account 165 - Balance @ 12/31/ 2024</v>
      </c>
      <c r="C61" s="1191"/>
      <c r="D61" s="1191"/>
      <c r="E61" s="1191"/>
      <c r="F61" s="1191"/>
      <c r="G61" s="1191"/>
      <c r="H61" s="1191"/>
      <c r="I61" s="1191"/>
      <c r="J61" s="1191"/>
      <c r="K61" s="316"/>
      <c r="L61" s="317"/>
      <c r="M61" s="301"/>
      <c r="N61" s="301"/>
      <c r="O61"/>
    </row>
    <row r="62" spans="1:15">
      <c r="B62" s="350"/>
      <c r="C62" s="109"/>
      <c r="D62" s="351"/>
      <c r="E62" s="330"/>
      <c r="G62" s="330" t="s">
        <v>386</v>
      </c>
      <c r="I62" s="4" t="s">
        <v>415</v>
      </c>
      <c r="J62" s="4" t="s">
        <v>415</v>
      </c>
      <c r="K62" s="4" t="s">
        <v>477</v>
      </c>
      <c r="L62"/>
      <c r="M62" s="301"/>
      <c r="N62" s="301"/>
      <c r="O62"/>
    </row>
    <row r="63" spans="1:15">
      <c r="B63" s="350"/>
      <c r="C63" s="352"/>
      <c r="D63" s="4" t="str">
        <f>""&amp;TCOS!L4-1&amp;""</f>
        <v>2024</v>
      </c>
      <c r="E63" s="4" t="s">
        <v>327</v>
      </c>
      <c r="G63" s="4" t="s">
        <v>415</v>
      </c>
      <c r="I63" s="4" t="s">
        <v>317</v>
      </c>
      <c r="J63" s="4" t="s">
        <v>459</v>
      </c>
      <c r="K63" s="4" t="s">
        <v>478</v>
      </c>
      <c r="L63"/>
      <c r="M63" s="301"/>
      <c r="N63" s="301"/>
      <c r="O63"/>
    </row>
    <row r="64" spans="1:15">
      <c r="A64" s="299">
        <f>A57+1</f>
        <v>27</v>
      </c>
      <c r="B64" s="300" t="s">
        <v>389</v>
      </c>
      <c r="C64" s="300" t="s">
        <v>465</v>
      </c>
      <c r="D64" s="300" t="s">
        <v>387</v>
      </c>
      <c r="E64" s="300" t="s">
        <v>298</v>
      </c>
      <c r="G64" s="300" t="s">
        <v>318</v>
      </c>
      <c r="I64" s="300" t="s">
        <v>318</v>
      </c>
      <c r="J64" s="300" t="s">
        <v>318</v>
      </c>
      <c r="K64" s="300" t="s">
        <v>319</v>
      </c>
      <c r="L64" s="300" t="s">
        <v>371</v>
      </c>
      <c r="M64" s="301"/>
      <c r="N64" s="301"/>
      <c r="O64"/>
    </row>
    <row r="65" spans="1:15">
      <c r="B65" s="75"/>
      <c r="C65" s="76"/>
      <c r="D65" s="76"/>
      <c r="E65" s="76"/>
      <c r="G65" s="76"/>
      <c r="I65" s="76"/>
      <c r="J65" s="76"/>
      <c r="K65" s="76"/>
      <c r="L65"/>
      <c r="M65" s="301"/>
      <c r="N65" s="301"/>
      <c r="O65"/>
    </row>
    <row r="66" spans="1:15" ht="14.25">
      <c r="A66" s="299">
        <f>+A64+1</f>
        <v>28</v>
      </c>
      <c r="B66" s="972" t="s">
        <v>990</v>
      </c>
      <c r="C66" s="973" t="s">
        <v>802</v>
      </c>
      <c r="D66" s="974">
        <v>564280.21699999995</v>
      </c>
      <c r="E66" s="975">
        <f t="shared" ref="E66:E68" si="9">+D66-K66</f>
        <v>0</v>
      </c>
      <c r="G66" s="976"/>
      <c r="I66" s="976">
        <f>+D66</f>
        <v>564280.21699999995</v>
      </c>
      <c r="J66" s="976"/>
      <c r="K66" s="976">
        <f>+G66+I66+J66</f>
        <v>564280.21699999995</v>
      </c>
      <c r="L66"/>
      <c r="M66" s="301"/>
      <c r="N66" s="301"/>
      <c r="O66"/>
    </row>
    <row r="67" spans="1:15" ht="14.25">
      <c r="A67" s="299">
        <f>+A66+1</f>
        <v>29</v>
      </c>
      <c r="B67" s="972" t="s">
        <v>991</v>
      </c>
      <c r="C67" s="977" t="s">
        <v>992</v>
      </c>
      <c r="D67" s="974">
        <v>0</v>
      </c>
      <c r="E67" s="975">
        <f t="shared" si="9"/>
        <v>0</v>
      </c>
      <c r="G67" s="976"/>
      <c r="I67" s="976">
        <f>+D67</f>
        <v>0</v>
      </c>
      <c r="J67" s="976"/>
      <c r="K67" s="976">
        <f t="shared" ref="K67:K70" si="10">+G67+I67+J67</f>
        <v>0</v>
      </c>
      <c r="L67"/>
      <c r="M67" s="301"/>
      <c r="N67" s="301"/>
      <c r="O67"/>
    </row>
    <row r="68" spans="1:15" ht="14.25">
      <c r="A68" s="299">
        <f t="shared" ref="A68:A81" si="11">+A67+1</f>
        <v>30</v>
      </c>
      <c r="B68" s="972" t="s">
        <v>1000</v>
      </c>
      <c r="C68" s="977" t="s">
        <v>992</v>
      </c>
      <c r="D68" s="974">
        <v>2847.87</v>
      </c>
      <c r="E68" s="975">
        <f t="shared" si="9"/>
        <v>0</v>
      </c>
      <c r="G68" s="976"/>
      <c r="I68" s="976">
        <f>+D68</f>
        <v>2847.87</v>
      </c>
      <c r="J68" s="976"/>
      <c r="K68" s="976">
        <f t="shared" si="10"/>
        <v>2847.87</v>
      </c>
      <c r="L68"/>
      <c r="M68" s="301"/>
      <c r="N68" s="301"/>
      <c r="O68"/>
    </row>
    <row r="69" spans="1:15" ht="14.25">
      <c r="A69" s="299">
        <f t="shared" si="11"/>
        <v>31</v>
      </c>
      <c r="B69" s="972" t="s">
        <v>993</v>
      </c>
      <c r="C69" s="977" t="s">
        <v>803</v>
      </c>
      <c r="D69" s="974">
        <v>234478.47</v>
      </c>
      <c r="E69" s="975"/>
      <c r="G69" s="976"/>
      <c r="I69" s="976">
        <f>+D69</f>
        <v>234478.47</v>
      </c>
      <c r="J69" s="976"/>
      <c r="K69" s="976">
        <f t="shared" si="10"/>
        <v>234478.47</v>
      </c>
      <c r="L69"/>
      <c r="M69" s="301"/>
      <c r="N69" s="301"/>
      <c r="O69"/>
    </row>
    <row r="70" spans="1:15" ht="14.25">
      <c r="A70" s="299">
        <f t="shared" si="11"/>
        <v>32</v>
      </c>
      <c r="B70" s="972" t="s">
        <v>994</v>
      </c>
      <c r="C70" s="977" t="s">
        <v>804</v>
      </c>
      <c r="D70" s="974">
        <v>51070.61</v>
      </c>
      <c r="E70" s="975"/>
      <c r="G70" s="976"/>
      <c r="I70" s="976">
        <f>+D70</f>
        <v>51070.61</v>
      </c>
      <c r="J70" s="976"/>
      <c r="K70" s="976">
        <f t="shared" si="10"/>
        <v>51070.61</v>
      </c>
      <c r="L70"/>
      <c r="M70" s="301"/>
      <c r="N70" s="301"/>
      <c r="O70"/>
    </row>
    <row r="71" spans="1:15" ht="14.25">
      <c r="A71" s="299">
        <f t="shared" si="11"/>
        <v>33</v>
      </c>
      <c r="B71" s="972"/>
      <c r="C71" s="977"/>
      <c r="D71" s="974"/>
      <c r="E71" s="975"/>
      <c r="G71" s="976"/>
      <c r="I71" s="976"/>
      <c r="J71" s="976"/>
      <c r="K71" s="976"/>
      <c r="L71"/>
      <c r="M71" s="301"/>
      <c r="N71" s="301"/>
      <c r="O71"/>
    </row>
    <row r="72" spans="1:15" ht="14.25">
      <c r="A72" s="299">
        <f t="shared" si="11"/>
        <v>34</v>
      </c>
      <c r="B72" s="972"/>
      <c r="C72" s="977"/>
      <c r="D72" s="974"/>
      <c r="E72" s="975"/>
      <c r="G72" s="866"/>
      <c r="I72" s="976"/>
      <c r="J72" s="866"/>
      <c r="K72" s="866"/>
      <c r="L72"/>
      <c r="M72" s="301"/>
      <c r="N72" s="301"/>
      <c r="O72"/>
    </row>
    <row r="73" spans="1:15" ht="14.25">
      <c r="A73" s="299">
        <f t="shared" si="11"/>
        <v>35</v>
      </c>
      <c r="B73" s="972"/>
      <c r="C73" s="977"/>
      <c r="D73" s="974"/>
      <c r="E73" s="975"/>
      <c r="G73" s="976"/>
      <c r="I73" s="976"/>
      <c r="J73" s="976"/>
      <c r="K73" s="866"/>
      <c r="L73" s="3"/>
      <c r="M73" s="301"/>
      <c r="N73" s="301"/>
      <c r="O73"/>
    </row>
    <row r="74" spans="1:15" ht="14.25">
      <c r="A74" s="299">
        <f t="shared" si="11"/>
        <v>36</v>
      </c>
      <c r="B74" s="972"/>
      <c r="C74" s="977"/>
      <c r="D74" s="974"/>
      <c r="E74" s="975"/>
      <c r="G74" s="976"/>
      <c r="I74" s="976"/>
      <c r="J74" s="976"/>
      <c r="K74" s="866"/>
      <c r="L74"/>
      <c r="M74" s="301"/>
      <c r="N74" s="301"/>
      <c r="O74"/>
    </row>
    <row r="75" spans="1:15" ht="14.25">
      <c r="A75" s="299">
        <f>+A72+1</f>
        <v>35</v>
      </c>
      <c r="B75" s="972"/>
      <c r="C75" s="977"/>
      <c r="D75" s="974"/>
      <c r="E75" s="975"/>
      <c r="G75" s="976"/>
      <c r="I75" s="976"/>
      <c r="J75" s="976"/>
      <c r="K75" s="866"/>
      <c r="L75"/>
      <c r="M75" s="301"/>
      <c r="N75" s="301"/>
      <c r="O75"/>
    </row>
    <row r="76" spans="1:15" ht="14.25">
      <c r="A76" s="299">
        <f t="shared" si="11"/>
        <v>36</v>
      </c>
      <c r="B76" s="972"/>
      <c r="C76" s="977"/>
      <c r="D76" s="974"/>
      <c r="E76" s="975"/>
      <c r="G76" s="976"/>
      <c r="I76" s="976"/>
      <c r="J76" s="866"/>
      <c r="K76" s="866"/>
      <c r="L76"/>
      <c r="M76" s="301"/>
      <c r="N76" s="301"/>
      <c r="O76"/>
    </row>
    <row r="77" spans="1:15" ht="14.25">
      <c r="A77" s="299">
        <f t="shared" si="11"/>
        <v>37</v>
      </c>
      <c r="B77" s="972"/>
      <c r="C77" s="977"/>
      <c r="D77" s="974"/>
      <c r="E77" s="975"/>
      <c r="G77" s="976"/>
      <c r="I77" s="976"/>
      <c r="J77" s="866"/>
      <c r="K77" s="866"/>
      <c r="L77"/>
      <c r="M77" s="301"/>
      <c r="N77" s="301"/>
      <c r="O77"/>
    </row>
    <row r="78" spans="1:15" ht="14.25">
      <c r="A78" s="299">
        <f t="shared" si="11"/>
        <v>38</v>
      </c>
      <c r="B78" s="972"/>
      <c r="C78" s="977"/>
      <c r="D78" s="974"/>
      <c r="E78" s="975"/>
      <c r="G78" s="976"/>
      <c r="I78" s="976"/>
      <c r="J78" s="866"/>
      <c r="K78" s="866"/>
      <c r="L78"/>
      <c r="M78" s="301"/>
      <c r="N78" s="301"/>
      <c r="O78"/>
    </row>
    <row r="79" spans="1:15" ht="14.25">
      <c r="A79" s="299">
        <f t="shared" si="11"/>
        <v>39</v>
      </c>
      <c r="B79" s="972"/>
      <c r="C79" s="977"/>
      <c r="D79" s="974"/>
      <c r="E79" s="975"/>
      <c r="G79" s="976"/>
      <c r="I79" s="976"/>
      <c r="J79" s="866"/>
      <c r="K79" s="866"/>
      <c r="L79"/>
      <c r="M79" s="301"/>
      <c r="N79" s="301"/>
      <c r="O79"/>
    </row>
    <row r="80" spans="1:15" ht="14.25">
      <c r="A80" s="299">
        <f t="shared" si="11"/>
        <v>40</v>
      </c>
      <c r="B80" s="972"/>
      <c r="C80" s="977"/>
      <c r="D80" s="974"/>
      <c r="E80" s="975"/>
      <c r="G80" s="976"/>
      <c r="I80" s="976"/>
      <c r="J80" s="866"/>
      <c r="K80" s="866"/>
      <c r="L80"/>
      <c r="M80" s="301"/>
      <c r="N80" s="301"/>
      <c r="O80"/>
    </row>
    <row r="81" spans="1:15" ht="15" thickBot="1">
      <c r="A81" s="299">
        <f t="shared" si="11"/>
        <v>41</v>
      </c>
      <c r="B81" s="706"/>
      <c r="C81" s="707"/>
      <c r="D81" s="730"/>
      <c r="E81" s="343"/>
      <c r="G81" s="344"/>
      <c r="I81" s="344"/>
      <c r="J81" s="344"/>
      <c r="K81" s="345"/>
      <c r="L81"/>
      <c r="M81" s="301"/>
      <c r="N81" s="301"/>
      <c r="O81"/>
    </row>
    <row r="82" spans="1:15">
      <c r="B82" s="75"/>
      <c r="C82" s="346" t="s">
        <v>624</v>
      </c>
      <c r="D82" s="347">
        <f>SUM(D66:D81)</f>
        <v>852677.1669999999</v>
      </c>
      <c r="E82" s="348">
        <f>SUM(E66:E81)</f>
        <v>0</v>
      </c>
      <c r="G82" s="347">
        <f>SUM(G66:G81)</f>
        <v>0</v>
      </c>
      <c r="I82" s="347">
        <f>SUM(I66:I81)</f>
        <v>852677.1669999999</v>
      </c>
      <c r="J82" s="347">
        <f>SUM(J66:J81)</f>
        <v>0</v>
      </c>
      <c r="K82" s="347">
        <f>SUM(K66:K81)</f>
        <v>852677.1669999999</v>
      </c>
      <c r="L82"/>
      <c r="M82" s="301"/>
      <c r="N82" s="301"/>
      <c r="O82"/>
    </row>
    <row r="83" spans="1:15">
      <c r="B83" s="299"/>
      <c r="C83"/>
      <c r="D83"/>
      <c r="E83"/>
      <c r="F83"/>
      <c r="G83"/>
      <c r="H83"/>
      <c r="I83"/>
      <c r="J83"/>
      <c r="K83"/>
      <c r="L83"/>
      <c r="M83" s="301"/>
      <c r="N83" s="301"/>
      <c r="O83"/>
    </row>
    <row r="84" spans="1:15" ht="20.25" customHeight="1">
      <c r="A84" s="299" t="s">
        <v>691</v>
      </c>
      <c r="B84" s="1189" t="s">
        <v>776</v>
      </c>
      <c r="C84" s="1189"/>
      <c r="D84" s="1189"/>
      <c r="E84" s="1189"/>
      <c r="F84" s="1189"/>
      <c r="G84" s="1189"/>
      <c r="H84" s="1189"/>
      <c r="I84" s="1189"/>
      <c r="J84" s="1189"/>
      <c r="K84" s="1189"/>
      <c r="L84" s="1189"/>
      <c r="M84" s="301"/>
      <c r="N84" s="301"/>
      <c r="O84"/>
    </row>
    <row r="85" spans="1:15" ht="20.25" customHeight="1">
      <c r="A85" s="749"/>
      <c r="B85" s="1189"/>
      <c r="C85" s="1189"/>
      <c r="D85" s="1189"/>
      <c r="E85" s="1189"/>
      <c r="F85" s="1189"/>
      <c r="G85" s="1189"/>
      <c r="H85" s="1189"/>
      <c r="I85" s="1189"/>
      <c r="J85" s="1189"/>
      <c r="K85" s="1189"/>
      <c r="L85" s="1189"/>
      <c r="M85"/>
      <c r="N85"/>
      <c r="O85"/>
    </row>
    <row r="86" spans="1:15">
      <c r="A86"/>
      <c r="B86"/>
      <c r="C86"/>
      <c r="D86"/>
      <c r="E86"/>
      <c r="F86"/>
      <c r="G86"/>
      <c r="H86"/>
      <c r="I86"/>
      <c r="J86"/>
      <c r="K86"/>
      <c r="L86"/>
      <c r="M86"/>
      <c r="N86"/>
      <c r="O86"/>
    </row>
    <row r="87" spans="1:15">
      <c r="A87"/>
      <c r="B87"/>
      <c r="C87"/>
      <c r="D87"/>
      <c r="E87"/>
      <c r="F87"/>
      <c r="G87"/>
      <c r="H87"/>
      <c r="I87"/>
      <c r="J87"/>
      <c r="K87"/>
      <c r="L87"/>
      <c r="M87"/>
      <c r="N87"/>
      <c r="O87"/>
    </row>
    <row r="88" spans="1:15">
      <c r="A88"/>
      <c r="B88"/>
      <c r="C88"/>
      <c r="D88"/>
      <c r="E88"/>
      <c r="F88"/>
      <c r="G88"/>
      <c r="H88"/>
      <c r="I88"/>
      <c r="J88"/>
      <c r="K88"/>
      <c r="L88"/>
      <c r="M88"/>
      <c r="N88"/>
      <c r="O88"/>
    </row>
    <row r="89" spans="1:15">
      <c r="A89"/>
      <c r="B89"/>
      <c r="C89"/>
      <c r="D89"/>
      <c r="E89"/>
      <c r="F89"/>
      <c r="G89"/>
      <c r="H89"/>
      <c r="I89"/>
      <c r="J89"/>
      <c r="K89"/>
      <c r="L89"/>
      <c r="M89"/>
      <c r="N89"/>
      <c r="O89"/>
    </row>
    <row r="90" spans="1:15">
      <c r="A90"/>
      <c r="B90"/>
      <c r="C90"/>
      <c r="D90"/>
      <c r="E90"/>
      <c r="F90"/>
      <c r="G90"/>
      <c r="H90"/>
      <c r="I90"/>
      <c r="J90"/>
      <c r="K90"/>
      <c r="L90"/>
      <c r="M90"/>
      <c r="N90"/>
      <c r="O90"/>
    </row>
    <row r="91" spans="1:15">
      <c r="A91"/>
      <c r="B91"/>
      <c r="C91"/>
      <c r="D91"/>
      <c r="E91"/>
      <c r="F91"/>
      <c r="G91"/>
      <c r="H91"/>
      <c r="I91"/>
      <c r="J91"/>
      <c r="K91"/>
      <c r="L91"/>
      <c r="M91"/>
      <c r="N91"/>
      <c r="O91"/>
    </row>
    <row r="92" spans="1:15">
      <c r="A92"/>
      <c r="B92"/>
      <c r="C92"/>
      <c r="D92"/>
      <c r="E92"/>
      <c r="F92"/>
      <c r="G92"/>
      <c r="H92"/>
      <c r="I92"/>
      <c r="J92"/>
      <c r="K92"/>
      <c r="L92"/>
      <c r="M92"/>
      <c r="N92"/>
      <c r="O92"/>
    </row>
    <row r="93" spans="1:15">
      <c r="A93"/>
      <c r="B93"/>
      <c r="C93"/>
      <c r="D93"/>
      <c r="E93"/>
      <c r="F93"/>
      <c r="G93"/>
      <c r="H93"/>
      <c r="I93"/>
      <c r="J93"/>
      <c r="K93"/>
      <c r="L93"/>
      <c r="M93"/>
      <c r="N93"/>
      <c r="O93"/>
    </row>
    <row r="94" spans="1:15">
      <c r="A94"/>
      <c r="B94"/>
      <c r="C94"/>
      <c r="D94"/>
      <c r="E94"/>
      <c r="F94"/>
      <c r="G94"/>
      <c r="H94"/>
      <c r="I94"/>
      <c r="J94"/>
      <c r="K94"/>
      <c r="L94"/>
      <c r="M94"/>
      <c r="N94"/>
      <c r="O94"/>
    </row>
    <row r="95" spans="1:15">
      <c r="A95"/>
      <c r="B95"/>
      <c r="C95"/>
      <c r="D95"/>
      <c r="E95"/>
      <c r="F95"/>
      <c r="G95"/>
      <c r="H95"/>
      <c r="I95"/>
      <c r="J95"/>
      <c r="K95"/>
      <c r="L95"/>
      <c r="M95"/>
      <c r="N95"/>
      <c r="O95"/>
    </row>
    <row r="96" spans="1:15">
      <c r="A96"/>
      <c r="B96"/>
      <c r="C96"/>
      <c r="D96"/>
      <c r="E96"/>
      <c r="F96"/>
      <c r="G96"/>
      <c r="H96"/>
      <c r="I96"/>
      <c r="J96"/>
      <c r="K96"/>
      <c r="L96"/>
      <c r="M96"/>
      <c r="N96"/>
      <c r="O96"/>
    </row>
    <row r="97" spans="1:15">
      <c r="A97"/>
      <c r="B97"/>
      <c r="C97"/>
      <c r="D97"/>
      <c r="E97"/>
      <c r="F97"/>
      <c r="G97"/>
      <c r="H97"/>
      <c r="I97"/>
      <c r="J97"/>
      <c r="K97"/>
      <c r="L97"/>
      <c r="M97"/>
      <c r="N97"/>
      <c r="O97"/>
    </row>
    <row r="98" spans="1:15">
      <c r="A98"/>
      <c r="B98"/>
      <c r="C98"/>
      <c r="D98"/>
      <c r="E98"/>
      <c r="F98"/>
      <c r="G98"/>
      <c r="H98"/>
      <c r="I98"/>
      <c r="J98"/>
      <c r="K98"/>
      <c r="L98"/>
      <c r="M98"/>
      <c r="N98"/>
      <c r="O98"/>
    </row>
    <row r="99" spans="1:15">
      <c r="A99"/>
      <c r="B99"/>
      <c r="C99"/>
      <c r="D99"/>
      <c r="E99"/>
      <c r="F99"/>
      <c r="G99"/>
      <c r="H99"/>
      <c r="I99"/>
      <c r="J99"/>
      <c r="K99"/>
      <c r="L99"/>
      <c r="M99"/>
      <c r="N99"/>
      <c r="O99"/>
    </row>
    <row r="100" spans="1:15">
      <c r="A100"/>
      <c r="B100"/>
      <c r="C100"/>
      <c r="D100"/>
      <c r="E100"/>
      <c r="F100"/>
      <c r="G100"/>
      <c r="H100"/>
      <c r="I100"/>
      <c r="J100"/>
      <c r="K100"/>
      <c r="L100"/>
      <c r="M100"/>
      <c r="N100"/>
      <c r="O100"/>
    </row>
    <row r="101" spans="1:15">
      <c r="A101"/>
      <c r="B101"/>
      <c r="C101"/>
      <c r="D101"/>
      <c r="E101"/>
      <c r="F101"/>
      <c r="G101"/>
      <c r="H101"/>
      <c r="I101"/>
      <c r="J101"/>
      <c r="K101"/>
      <c r="L101"/>
      <c r="M101"/>
      <c r="N101"/>
      <c r="O101"/>
    </row>
    <row r="102" spans="1:15">
      <c r="A102"/>
      <c r="B102"/>
      <c r="C102"/>
      <c r="D102"/>
      <c r="E102"/>
      <c r="F102"/>
      <c r="G102"/>
      <c r="H102"/>
      <c r="I102"/>
      <c r="J102"/>
      <c r="K102"/>
      <c r="L102"/>
      <c r="M102"/>
      <c r="N102"/>
      <c r="O102"/>
    </row>
    <row r="103" spans="1:15">
      <c r="A103"/>
      <c r="B103"/>
      <c r="C103"/>
      <c r="D103"/>
      <c r="E103"/>
      <c r="F103"/>
      <c r="G103"/>
      <c r="H103"/>
      <c r="I103"/>
      <c r="J103"/>
      <c r="K103"/>
      <c r="L103"/>
      <c r="M103"/>
      <c r="N103"/>
      <c r="O103"/>
    </row>
    <row r="104" spans="1:15">
      <c r="A104"/>
      <c r="B104"/>
      <c r="C104"/>
      <c r="D104"/>
      <c r="E104"/>
      <c r="F104"/>
      <c r="G104"/>
      <c r="H104"/>
      <c r="I104"/>
      <c r="J104"/>
      <c r="K104"/>
      <c r="L104"/>
      <c r="M104"/>
      <c r="N104"/>
      <c r="O104"/>
    </row>
    <row r="105" spans="1:15">
      <c r="A105"/>
      <c r="B105"/>
      <c r="C105"/>
      <c r="D105"/>
      <c r="E105"/>
      <c r="F105"/>
      <c r="G105"/>
      <c r="H105"/>
      <c r="I105"/>
      <c r="J105"/>
      <c r="K105"/>
      <c r="L105"/>
      <c r="M105"/>
      <c r="N105"/>
      <c r="O105"/>
    </row>
    <row r="106" spans="1:15">
      <c r="A106"/>
      <c r="B106"/>
      <c r="C106"/>
      <c r="D106"/>
      <c r="E106"/>
      <c r="F106"/>
      <c r="G106"/>
      <c r="H106"/>
      <c r="I106"/>
      <c r="J106"/>
      <c r="K106"/>
      <c r="L106"/>
      <c r="M106"/>
      <c r="N106"/>
      <c r="O106"/>
    </row>
    <row r="107" spans="1:15">
      <c r="A107"/>
      <c r="B107"/>
      <c r="C107"/>
      <c r="D107"/>
      <c r="E107"/>
      <c r="F107"/>
      <c r="G107"/>
      <c r="H107"/>
      <c r="I107"/>
      <c r="J107"/>
      <c r="K107"/>
      <c r="L107"/>
      <c r="M107"/>
      <c r="N107"/>
      <c r="O107"/>
    </row>
    <row r="108" spans="1:15">
      <c r="A108"/>
      <c r="B108"/>
      <c r="C108"/>
      <c r="D108"/>
      <c r="E108"/>
      <c r="F108"/>
      <c r="G108"/>
      <c r="H108"/>
      <c r="I108"/>
      <c r="J108"/>
      <c r="K108"/>
      <c r="L108"/>
      <c r="M108"/>
      <c r="N108"/>
      <c r="O108"/>
    </row>
  </sheetData>
  <mergeCells count="12">
    <mergeCell ref="B84:L85"/>
    <mergeCell ref="B10:K10"/>
    <mergeCell ref="A3:L3"/>
    <mergeCell ref="A4:L4"/>
    <mergeCell ref="A5:L5"/>
    <mergeCell ref="A6:L6"/>
    <mergeCell ref="B61:J61"/>
    <mergeCell ref="B26:K26"/>
    <mergeCell ref="E12:E13"/>
    <mergeCell ref="I12:I13"/>
    <mergeCell ref="B36:J36"/>
    <mergeCell ref="G12:G13"/>
  </mergeCells>
  <phoneticPr fontId="5" type="noConversion"/>
  <pageMargins left="1.08" right="0.75" top="0.7" bottom="0.41" header="0.75" footer="0.27"/>
  <pageSetup scale="42" orientation="landscape" r:id="rId1"/>
  <headerFooter alignWithMargins="0">
    <oddHeader>&amp;R&amp;"Arial,Bold"Formula Rate
&amp;A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O38"/>
  <sheetViews>
    <sheetView tabSelected="1" workbookViewId="0">
      <selection activeCell="O54" sqref="O54"/>
    </sheetView>
  </sheetViews>
  <sheetFormatPr defaultColWidth="8.85546875" defaultRowHeight="12.75"/>
  <cols>
    <col min="1" max="1" width="9.140625" style="1" customWidth="1"/>
    <col min="2" max="2" width="65.140625" bestFit="1" customWidth="1"/>
    <col min="3" max="3" width="13.5703125" bestFit="1" customWidth="1"/>
    <col min="4" max="4" width="1.5703125" customWidth="1"/>
    <col min="5" max="5" width="15" bestFit="1" customWidth="1"/>
  </cols>
  <sheetData>
    <row r="1" spans="1:15" ht="15.75">
      <c r="A1" s="738" t="s">
        <v>414</v>
      </c>
    </row>
    <row r="2" spans="1:15" ht="15.75">
      <c r="A2" s="738" t="s">
        <v>414</v>
      </c>
    </row>
    <row r="3" spans="1:15" ht="15">
      <c r="A3" s="1161" t="str">
        <f>TCOS!$F$5</f>
        <v>AEPTCo subsidiaries in PJM</v>
      </c>
      <c r="B3" s="1161" t="str">
        <f>TCOS!$F$5</f>
        <v>AEPTCo subsidiaries in PJM</v>
      </c>
      <c r="C3" s="1161" t="str">
        <f>TCOS!$F$5</f>
        <v>AEPTCo subsidiaries in PJM</v>
      </c>
      <c r="D3" s="1161" t="str">
        <f>TCOS!$F$5</f>
        <v>AEPTCo subsidiaries in PJM</v>
      </c>
      <c r="E3" s="1161" t="str">
        <f>TCOS!$F$5</f>
        <v>AEPTCo subsidiaries in PJM</v>
      </c>
      <c r="F3" s="17"/>
      <c r="G3" s="17"/>
      <c r="H3" s="17"/>
      <c r="I3" s="17"/>
      <c r="J3" s="17"/>
      <c r="K3" s="17"/>
      <c r="L3" s="17"/>
      <c r="M3" s="17"/>
      <c r="N3" s="17"/>
      <c r="O3" s="17"/>
    </row>
    <row r="4" spans="1:15" ht="15">
      <c r="A4" s="1162" t="str">
        <f>"Cost of Service Formula Rate Using Actual/Projected FF1 Balances"</f>
        <v>Cost of Service Formula Rate Using Actual/Projected FF1 Balances</v>
      </c>
      <c r="B4" s="1162"/>
      <c r="C4" s="1162"/>
      <c r="D4" s="1162"/>
      <c r="E4" s="1162"/>
      <c r="F4" s="44"/>
      <c r="G4" s="44"/>
      <c r="H4" s="44"/>
      <c r="I4" s="44"/>
      <c r="J4" s="44"/>
      <c r="K4" s="44"/>
      <c r="L4" s="44"/>
      <c r="M4" s="45"/>
      <c r="N4" s="45"/>
      <c r="O4" s="45"/>
    </row>
    <row r="5" spans="1:15" ht="15">
      <c r="A5" s="1162" t="s">
        <v>551</v>
      </c>
      <c r="B5" s="1162"/>
      <c r="C5" s="1162"/>
      <c r="D5" s="1162"/>
      <c r="E5" s="1162"/>
      <c r="F5" s="44"/>
      <c r="G5" s="44"/>
      <c r="H5" s="44"/>
      <c r="I5" s="44"/>
      <c r="J5" s="44"/>
      <c r="K5" s="44"/>
      <c r="L5" s="44"/>
      <c r="M5" s="44"/>
      <c r="N5" s="44"/>
      <c r="O5" s="44"/>
    </row>
    <row r="6" spans="1:15" ht="15">
      <c r="A6" s="1173" t="str">
        <f>TCOS!F9</f>
        <v>AEP Indiana Michigan Transmission Company</v>
      </c>
      <c r="B6" s="1173"/>
      <c r="C6" s="1173"/>
      <c r="D6" s="1173"/>
      <c r="E6" s="1173"/>
      <c r="F6" s="2"/>
      <c r="G6" s="2"/>
      <c r="H6" s="2"/>
      <c r="I6" s="2"/>
      <c r="J6" s="2"/>
      <c r="K6" s="2"/>
      <c r="L6" s="2"/>
      <c r="M6" s="2"/>
      <c r="N6" s="2"/>
      <c r="O6" s="2"/>
    </row>
    <row r="8" spans="1:15">
      <c r="A8" s="69" t="s">
        <v>467</v>
      </c>
      <c r="B8" s="70" t="s">
        <v>460</v>
      </c>
      <c r="C8" s="70" t="s">
        <v>461</v>
      </c>
    </row>
    <row r="9" spans="1:15">
      <c r="A9" s="69" t="s">
        <v>405</v>
      </c>
      <c r="B9" s="69" t="s">
        <v>465</v>
      </c>
      <c r="C9" s="69">
        <f>+TCOS!L4</f>
        <v>2025</v>
      </c>
    </row>
    <row r="10" spans="1:15">
      <c r="B10" s="98"/>
      <c r="C10" s="70"/>
    </row>
    <row r="11" spans="1:15">
      <c r="A11" s="1">
        <v>1</v>
      </c>
      <c r="B11" s="910" t="str">
        <f>"Net Funds from IPP Customers 12/31/"&amp;TCOS!L4-1&amp;" ("&amp;TCOS!L4&amp;" FORM 1, P269)"</f>
        <v>Net Funds from IPP Customers 12/31/2024 (2025 FORM 1, P269)</v>
      </c>
      <c r="C11" s="366">
        <v>0</v>
      </c>
    </row>
    <row r="12" spans="1:15">
      <c r="B12" s="3"/>
    </row>
    <row r="13" spans="1:15">
      <c r="A13" s="354">
        <v>2</v>
      </c>
      <c r="B13" s="910" t="s">
        <v>259</v>
      </c>
      <c r="C13" s="366">
        <v>0</v>
      </c>
    </row>
    <row r="14" spans="1:15">
      <c r="A14" s="354"/>
      <c r="B14" s="910"/>
    </row>
    <row r="15" spans="1:15">
      <c r="A15" s="354">
        <f>+A13+1</f>
        <v>3</v>
      </c>
      <c r="B15" s="910" t="s">
        <v>337</v>
      </c>
      <c r="C15" s="366">
        <v>0</v>
      </c>
    </row>
    <row r="16" spans="1:15">
      <c r="A16" s="354"/>
      <c r="B16" s="910"/>
    </row>
    <row r="17" spans="1:4">
      <c r="A17" s="354">
        <f>+A15+1</f>
        <v>4</v>
      </c>
      <c r="B17" s="911" t="s">
        <v>0</v>
      </c>
    </row>
    <row r="18" spans="1:4">
      <c r="A18" s="355">
        <f>+A17+1</f>
        <v>5</v>
      </c>
      <c r="B18" s="910" t="s">
        <v>338</v>
      </c>
      <c r="C18" s="366">
        <v>0</v>
      </c>
    </row>
    <row r="19" spans="1:4">
      <c r="A19" s="355">
        <f>+A18+1</f>
        <v>6</v>
      </c>
      <c r="B19" s="47" t="s">
        <v>414</v>
      </c>
      <c r="C19" s="366">
        <v>0</v>
      </c>
    </row>
    <row r="20" spans="1:4">
      <c r="A20" s="355"/>
      <c r="B20" s="3"/>
      <c r="C20" s="358"/>
    </row>
    <row r="21" spans="1:4">
      <c r="A21" s="355">
        <f>+A19+1</f>
        <v>7</v>
      </c>
      <c r="B21" s="910" t="str">
        <f>"Net Funds from IPP Customers 12/31/"&amp;TCOS!L4&amp;" ("&amp;TCOS!L4&amp;" FORM 1, P269)"</f>
        <v>Net Funds from IPP Customers 12/31/2025 (2025 FORM 1, P269)</v>
      </c>
      <c r="C21" s="359">
        <f>+C11+C13+C15+C18+C19</f>
        <v>0</v>
      </c>
      <c r="D21" s="360"/>
    </row>
    <row r="22" spans="1:4">
      <c r="A22" s="355"/>
      <c r="B22" s="357"/>
    </row>
    <row r="23" spans="1:4">
      <c r="A23" s="355">
        <f>+A21+1</f>
        <v>8</v>
      </c>
      <c r="B23" s="356" t="str">
        <f>"Average Balance for Year as Indicated in Column ((ln "&amp;A11&amp;" + ln "&amp;A21&amp;")/2)"</f>
        <v>Average Balance for Year as Indicated in Column ((ln 1 + ln 7)/2)</v>
      </c>
      <c r="C23" s="361">
        <f>AVERAGE(C21,C11)</f>
        <v>0</v>
      </c>
    </row>
    <row r="24" spans="1:4">
      <c r="A24" s="355"/>
      <c r="B24" s="357"/>
    </row>
    <row r="25" spans="1:4">
      <c r="A25" s="355"/>
      <c r="B25" s="357"/>
      <c r="C25" s="359"/>
    </row>
    <row r="26" spans="1:4" ht="15">
      <c r="A26" s="362" t="s">
        <v>295</v>
      </c>
      <c r="B26" s="1196" t="str">
        <f>"On this worksheet Company Records refers to  "&amp;A6&amp;"'s general ledger."</f>
        <v>On this worksheet Company Records refers to  AEP Indiana Michigan Transmission Company's general ledger.</v>
      </c>
      <c r="C26" s="215"/>
    </row>
    <row r="27" spans="1:4">
      <c r="A27" s="363"/>
      <c r="B27" s="1197"/>
    </row>
    <row r="32" spans="1:4">
      <c r="D32" s="364"/>
    </row>
    <row r="38" spans="3:3">
      <c r="C38" s="365"/>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jczNjg5PC9Vc2VyTmFtZT48RGF0ZVRpbWU+My8yNS8yMDIyIDc6MTM6MjkgUE08L0RhdGVUaW1lPjxMYWJlbFN0cmluZz5BRVAgSW50ZXJuYWw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D3FB770C-D543-49D5-8256-AAB8B2A0261A}">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A914E212-D94D-4E29-BE29-2EF571477F1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TCOS</vt:lpstr>
      <vt:lpstr>WS A - Rate Base Support</vt:lpstr>
      <vt:lpstr>WS B ADIT &amp; ITC</vt:lpstr>
      <vt:lpstr>WS B-1 - Actual Stmt. AF</vt:lpstr>
      <vt:lpstr>WS B-2 - Actual Stmt. AG</vt:lpstr>
      <vt:lpstr>WS B-3</vt:lpstr>
      <vt:lpstr>WS B-3-A Remeas Suprt</vt:lpstr>
      <vt:lpstr>WS C  - Working Capital</vt:lpstr>
      <vt:lpstr>WS D IPP Credits</vt:lpstr>
      <vt:lpstr>WS E Rev Credits</vt:lpstr>
      <vt:lpstr>WS F Misc Exp</vt:lpstr>
      <vt:lpstr>WS G  State Tax Rate</vt:lpstr>
      <vt:lpstr>WS H-p1 Other Taxes</vt:lpstr>
      <vt:lpstr>WS H-p2 Detail of Tax Amts</vt:lpstr>
      <vt:lpstr>WS I RESERVED</vt:lpstr>
      <vt:lpstr>WS J PROJECTED RTEP RR</vt:lpstr>
      <vt:lpstr>WS K TRUE-UP RTEP RR</vt:lpstr>
      <vt:lpstr>WS L RESERVED</vt:lpstr>
      <vt:lpstr>WS M - Cost of Capital</vt:lpstr>
      <vt:lpstr>WS N - Sale of Plant Held</vt:lpstr>
      <vt:lpstr>Worksheet O</vt:lpstr>
      <vt:lpstr>WS P Dep. Rates</vt:lpstr>
      <vt:lpstr>WS Q Cap Structure</vt:lpstr>
      <vt:lpstr>WS R Interest</vt:lpstr>
      <vt:lpstr>WS R Interest(2)</vt:lpstr>
      <vt:lpstr>NP_h</vt:lpstr>
      <vt:lpstr>NPh</vt:lpstr>
      <vt:lpstr>TCOS!Print_Area</vt:lpstr>
      <vt:lpstr>'Worksheet O'!Print_Area</vt:lpstr>
      <vt:lpstr>'WS B ADIT &amp; ITC'!Print_Area</vt:lpstr>
      <vt:lpstr>'WS B-3-A Remeas Suprt'!Print_Area</vt:lpstr>
      <vt:lpstr>'WS D IPP Credits'!Print_Area</vt:lpstr>
      <vt:lpstr>'WS E Rev Credits'!Print_Area</vt:lpstr>
      <vt:lpstr>'WS F Misc Exp'!Print_Area</vt:lpstr>
      <vt:lpstr>'WS G  State Tax Rate'!Print_Area</vt:lpstr>
      <vt:lpstr>'WS H-p1 Other Taxes'!Print_Area</vt:lpstr>
      <vt:lpstr>'WS H-p2 Detail of Tax Amts'!Print_Area</vt:lpstr>
      <vt:lpstr>'WS I RESERVED'!Print_Area</vt:lpstr>
      <vt:lpstr>'WS J PROJECTED RTEP RR'!Print_Area</vt:lpstr>
      <vt:lpstr>'WS L RESERVED'!Print_Area</vt:lpstr>
      <vt:lpstr>'WS N - Sale of Plant Held'!Print_Area</vt:lpstr>
      <vt:lpstr>'WS P Dep. Rates'!Print_Area</vt:lpstr>
      <vt:lpstr>'WS Q Cap Structure'!Print_Area</vt:lpstr>
      <vt:lpstr>'WS R Interest'!Print_Area</vt:lpstr>
      <vt:lpstr>'WS A - Rate Base Support'!Print_Titles</vt:lpstr>
      <vt:lpstr>'WS C  - Working Capital'!Print_Titles</vt:lpstr>
      <vt:lpstr>'WS H-p1 Other Taxes'!Print_Titles</vt:lpstr>
      <vt:lpstr>'WS H-p2 Detail of Tax Amts'!Print_Titles</vt:lpstr>
      <vt:lpstr>'WS M - Cost of Capital'!Print_Titles</vt:lpstr>
      <vt:lpstr>'WS P Dep. Rates'!Print_Titles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2026-05-21T17:07:06Z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3e0850ed-bb57-4327-b937-cf6375d08c1f</vt:lpwstr>
  </property>
  <property fmtid="{D5CDD505-2E9C-101B-9397-08002B2CF9AE}" pid="3" name="bjSaver">
    <vt:lpwstr>HTegTYUHA5Eno747PWutbmINAXeRHZsu</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ClsUserRVM">
    <vt:lpwstr>[]</vt:lpwstr>
  </property>
  <property fmtid="{D5CDD505-2E9C-101B-9397-08002B2CF9AE}" pid="7" name="bjLabelHistoryID">
    <vt:lpwstr>{D3FB770C-D543-49D5-8256-AAB8B2A0261A}</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2" name="bjDocumentLabelXML-0">
    <vt:lpwstr>ames.com/2008/01/sie/internal/label"&gt;&lt;element uid="50c31824-0780-4910-87d1-eaaffd182d42" value="" /&gt;&lt;/sisl&gt;</vt:lpwstr>
  </property>
</Properties>
</file>